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945" windowWidth="22380" windowHeight="12120" tabRatio="939" activeTab="5"/>
  </bookViews>
  <sheets>
    <sheet name="Total Benefit Cost" sheetId="1" r:id="rId1"/>
    <sheet name="ATT 1 - Costs per Hour and Mile" sheetId="2" r:id="rId2"/>
    <sheet name="ATT 2 - VMT and VHT Estimates" sheetId="3" r:id="rId3"/>
    <sheet name="ATT 3 - Const and Maint" sheetId="4" r:id="rId4"/>
    <sheet name="ATT 4 - Travel Time Benefits" sheetId="5" r:id="rId5"/>
    <sheet name="ATT 5 - Operating Benefits" sheetId="6" r:id="rId6"/>
    <sheet name="ATT 6 - Safety Benefits" sheetId="7" r:id="rId7"/>
    <sheet name="Sheet5" sheetId="8" r:id="rId8"/>
  </sheets>
  <definedNames/>
  <calcPr fullCalcOnLoad="1"/>
</workbook>
</file>

<file path=xl/sharedStrings.xml><?xml version="1.0" encoding="utf-8"?>
<sst xmlns="http://schemas.openxmlformats.org/spreadsheetml/2006/main" count="201" uniqueCount="123">
  <si>
    <t>Year</t>
  </si>
  <si>
    <t>Activity</t>
  </si>
  <si>
    <t>Travel Time Benefit</t>
  </si>
  <si>
    <t>Safety Benefit</t>
  </si>
  <si>
    <t>Vehicle Operation Cost Benefit</t>
  </si>
  <si>
    <t>Discount</t>
  </si>
  <si>
    <t>TOTAL</t>
  </si>
  <si>
    <t>Construction and Maintenance Costs</t>
  </si>
  <si>
    <t>Non-Disc.</t>
  </si>
  <si>
    <t>Base Year</t>
  </si>
  <si>
    <t>No-Build</t>
  </si>
  <si>
    <t>Build</t>
  </si>
  <si>
    <t>DIFFERENCE</t>
  </si>
  <si>
    <t>Trucks</t>
  </si>
  <si>
    <t>Auto</t>
  </si>
  <si>
    <t>Truck</t>
  </si>
  <si>
    <t>Benefit per Truck VMT</t>
  </si>
  <si>
    <t>Benefit per Auto VMT</t>
  </si>
  <si>
    <t>Miles per Year</t>
  </si>
  <si>
    <t>Vehicle Cost</t>
  </si>
  <si>
    <t>User Delay</t>
  </si>
  <si>
    <t>(Future Year)</t>
  </si>
  <si>
    <t>TOTAL COST (Future Year)</t>
  </si>
  <si>
    <t>Inflation</t>
  </si>
  <si>
    <t>Discount rate is above and beyond inflation (as stated in regulations)</t>
  </si>
  <si>
    <t>Benefit per Auto VHT</t>
  </si>
  <si>
    <t>Benefit per Truck VHT</t>
  </si>
  <si>
    <t>Reduction</t>
  </si>
  <si>
    <t>Reduction of VHT</t>
  </si>
  <si>
    <t>DALIY BENEFIT (2014)</t>
  </si>
  <si>
    <t>ANNUAL BENEFIT (2014)</t>
  </si>
  <si>
    <t>Daily VMT</t>
  </si>
  <si>
    <t>Daily VHT</t>
  </si>
  <si>
    <t>Reduction of VMT</t>
  </si>
  <si>
    <t>Vehicle Operating Costs</t>
  </si>
  <si>
    <t>Assumes 25% of construction in 2016, 50% of construction in 2017, and 25% in 2018</t>
  </si>
  <si>
    <t>Safety Costs</t>
  </si>
  <si>
    <t>Safety Benefits</t>
  </si>
  <si>
    <t>Vehicle Operating Benefits</t>
  </si>
  <si>
    <t>Travel Time Benefits</t>
  </si>
  <si>
    <t>ANNUAL BENEFIT (Current Dollars)</t>
  </si>
  <si>
    <t>DALIY BENEFIT (Current Dollars)</t>
  </si>
  <si>
    <t>Alt. Disc.</t>
  </si>
  <si>
    <t>Disc. (7%)</t>
  </si>
  <si>
    <t>Disc (3%)</t>
  </si>
  <si>
    <t>Estimates of VMT and VHT</t>
  </si>
  <si>
    <t>Output from CARTS Travel Demand Model (Lonoke County)</t>
  </si>
  <si>
    <t>ANNUAL COST (Current Dollars)</t>
  </si>
  <si>
    <t>Estimates of VMT and VHT by years using linear interpolation</t>
  </si>
  <si>
    <t>Benefits per VHT and VMT</t>
  </si>
  <si>
    <t>Value of Time</t>
  </si>
  <si>
    <t>Automobiles</t>
  </si>
  <si>
    <t>per hour</t>
  </si>
  <si>
    <t>Occupancy</t>
  </si>
  <si>
    <t>Fuel Economy</t>
  </si>
  <si>
    <t>MPG</t>
  </si>
  <si>
    <t>per gallon</t>
  </si>
  <si>
    <t>per mile</t>
  </si>
  <si>
    <t>Vehicle Life</t>
  </si>
  <si>
    <t>Salvage Value</t>
  </si>
  <si>
    <t>years</t>
  </si>
  <si>
    <t>Insurance</t>
  </si>
  <si>
    <t>miles</t>
  </si>
  <si>
    <t>per year</t>
  </si>
  <si>
    <t>Fuel Price</t>
  </si>
  <si>
    <t>Fuel Cost</t>
  </si>
  <si>
    <t>per VMT</t>
  </si>
  <si>
    <r>
      <t>Other Maint.</t>
    </r>
    <r>
      <rPr>
        <vertAlign val="superscript"/>
        <sz val="10"/>
        <color indexed="8"/>
        <rFont val="Arial"/>
        <family val="2"/>
      </rPr>
      <t>6</t>
    </r>
  </si>
  <si>
    <t>Other Maint.</t>
  </si>
  <si>
    <t>Ownership</t>
  </si>
  <si>
    <t>Finance Rate</t>
  </si>
  <si>
    <t>TOTAL COST</t>
  </si>
  <si>
    <t>All Vehicles</t>
  </si>
  <si>
    <t>1 -TIGER Guidance</t>
  </si>
  <si>
    <r>
      <t>Value of Time</t>
    </r>
    <r>
      <rPr>
        <vertAlign val="superscript"/>
        <sz val="10"/>
        <color indexed="8"/>
        <rFont val="Arial"/>
        <family val="2"/>
      </rPr>
      <t>1</t>
    </r>
  </si>
  <si>
    <t>AIS 0</t>
  </si>
  <si>
    <t>AIS 1</t>
  </si>
  <si>
    <t>AIS 2</t>
  </si>
  <si>
    <t>AIS 3</t>
  </si>
  <si>
    <t>AIS 4</t>
  </si>
  <si>
    <t>AIS 5</t>
  </si>
  <si>
    <t>AIS 6</t>
  </si>
  <si>
    <t>Fatal Crashes</t>
  </si>
  <si>
    <t>Non-Fatal Crash</t>
  </si>
  <si>
    <t>per VHT</t>
  </si>
  <si>
    <r>
      <t>Build</t>
    </r>
    <r>
      <rPr>
        <b/>
        <vertAlign val="superscript"/>
        <sz val="11"/>
        <color indexed="8"/>
        <rFont val="Calibri"/>
        <family val="2"/>
      </rPr>
      <t>1</t>
    </r>
  </si>
  <si>
    <t>1.  VMT and VHT for build scenario is equal to no-build until project opens.</t>
  </si>
  <si>
    <r>
      <t>Inventory Costs</t>
    </r>
    <r>
      <rPr>
        <vertAlign val="superscript"/>
        <sz val="10"/>
        <color indexed="8"/>
        <rFont val="Arial"/>
        <family val="2"/>
      </rPr>
      <t>2</t>
    </r>
  </si>
  <si>
    <r>
      <t>Other Maint.</t>
    </r>
    <r>
      <rPr>
        <vertAlign val="superscript"/>
        <sz val="10"/>
        <color indexed="8"/>
        <rFont val="Arial"/>
        <family val="2"/>
      </rPr>
      <t>3</t>
    </r>
  </si>
  <si>
    <r>
      <t>Owner. Cost</t>
    </r>
    <r>
      <rPr>
        <vertAlign val="superscript"/>
        <sz val="10"/>
        <color indexed="8"/>
        <rFont val="Arial"/>
        <family val="2"/>
      </rPr>
      <t>4</t>
    </r>
  </si>
  <si>
    <r>
      <t>Insurance</t>
    </r>
    <r>
      <rPr>
        <vertAlign val="superscript"/>
        <sz val="10"/>
        <color indexed="8"/>
        <rFont val="Arial"/>
        <family val="2"/>
      </rPr>
      <t>5</t>
    </r>
  </si>
  <si>
    <t>6 - From http://www.thetruckersreport.com/infographics/cost-of-trucking/</t>
  </si>
  <si>
    <r>
      <t>Vehicle Cost</t>
    </r>
    <r>
      <rPr>
        <vertAlign val="superscript"/>
        <sz val="10"/>
        <color indexed="8"/>
        <rFont val="Arial"/>
        <family val="2"/>
      </rPr>
      <t>6</t>
    </r>
  </si>
  <si>
    <r>
      <t>Miles per Year</t>
    </r>
    <r>
      <rPr>
        <vertAlign val="superscript"/>
        <sz val="10"/>
        <color indexed="8"/>
        <rFont val="Arial"/>
        <family val="2"/>
      </rPr>
      <t>6</t>
    </r>
  </si>
  <si>
    <r>
      <t>Owner. Cost</t>
    </r>
    <r>
      <rPr>
        <vertAlign val="superscript"/>
        <sz val="10"/>
        <color indexed="8"/>
        <rFont val="Arial"/>
        <family val="2"/>
      </rPr>
      <t>6</t>
    </r>
  </si>
  <si>
    <r>
      <t>Insurance</t>
    </r>
    <r>
      <rPr>
        <vertAlign val="superscript"/>
        <sz val="10"/>
        <color indexed="8"/>
        <rFont val="Arial"/>
        <family val="2"/>
      </rPr>
      <t>6</t>
    </r>
  </si>
  <si>
    <t>Crash Cost (per VMT)</t>
  </si>
  <si>
    <t>7 - Based on 2012 statewide average crash rates in urban areas</t>
  </si>
  <si>
    <r>
      <t>Crash Cost</t>
    </r>
    <r>
      <rPr>
        <b/>
        <vertAlign val="superscript"/>
        <sz val="10"/>
        <color indexed="8"/>
        <rFont val="Arial"/>
        <family val="2"/>
      </rPr>
      <t>1</t>
    </r>
  </si>
  <si>
    <r>
      <t>Cost of Crash</t>
    </r>
    <r>
      <rPr>
        <b/>
        <vertAlign val="superscript"/>
        <sz val="10"/>
        <color indexed="8"/>
        <rFont val="Arial"/>
        <family val="2"/>
      </rPr>
      <t>1</t>
    </r>
  </si>
  <si>
    <r>
      <t>Crash Rate (per MVM)</t>
    </r>
    <r>
      <rPr>
        <b/>
        <vertAlign val="superscript"/>
        <sz val="10"/>
        <color indexed="8"/>
        <rFont val="Arial"/>
        <family val="2"/>
      </rPr>
      <t>7</t>
    </r>
  </si>
  <si>
    <t>ROW</t>
  </si>
  <si>
    <t>Costs</t>
  </si>
  <si>
    <t>Const &amp; Eng</t>
  </si>
  <si>
    <t>Assumes engineering = 10% of project costs</t>
  </si>
  <si>
    <t>Assumes right-of way aquisition = 14% of construction costs</t>
  </si>
  <si>
    <t>Build VMT</t>
  </si>
  <si>
    <t>No-Build VMT</t>
  </si>
  <si>
    <t>No-Build Cost per Mile</t>
  </si>
  <si>
    <t>Build Cost per Mile</t>
  </si>
  <si>
    <t>All</t>
  </si>
  <si>
    <t>No Disc.</t>
  </si>
  <si>
    <t>3% Disc.</t>
  </si>
  <si>
    <t>7% Disc.</t>
  </si>
  <si>
    <t>Benefits</t>
  </si>
  <si>
    <t>B/C Ratio</t>
  </si>
  <si>
    <t>Construction Costs</t>
  </si>
  <si>
    <t>Assumes that only a minimal portion of reduced VHT will be from trucks</t>
  </si>
  <si>
    <t>Assumes that only a minimal portion of reduced VMT will be from trucks</t>
  </si>
  <si>
    <t>4 - AASHTO, Equation 5-6</t>
  </si>
  <si>
    <t>3 - AASHTO Table 5-4, Avg. of Maint. and Tires for 5 vehicle types, adjust for inflation</t>
  </si>
  <si>
    <t>2 - AASHTO, Equation 5-12, 3% interest rate, $300,000 Value of Cargo</t>
  </si>
  <si>
    <t>5 - AASHTO, Table 5-4, Avg. of Insurance for 5 Vehicle Types, adjusted for inflation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</si>
</sst>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  <numFmt numFmtId="166" formatCode="&quot;$&quot;#,##0.00"/>
    <numFmt numFmtId="167" formatCode="0.0%"/>
    <numFmt numFmtId="168" formatCode="&quot;$&quot;#,##0.000_);[Red]\(&quot;$&quot;#,##0.000\)"/>
    <numFmt numFmtId="16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b/>
      <vertAlign val="superscript"/>
      <sz val="10"/>
      <color indexed="8"/>
      <name val="Arial"/>
      <family val="2"/>
    </font>
    <font>
      <b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6" tint="-0.4999699890613556"/>
      <name val="Calibri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6" fillId="0" borderId="0" xfId="0" applyFont="1" applyAlignment="1">
      <alignment/>
    </xf>
    <xf numFmtId="0" fontId="42" fillId="0" borderId="0" xfId="55">
      <alignment/>
      <protection/>
    </xf>
    <xf numFmtId="164" fontId="42" fillId="0" borderId="0" xfId="55" applyNumberFormat="1">
      <alignment/>
      <protection/>
    </xf>
    <xf numFmtId="2" fontId="42" fillId="0" borderId="0" xfId="55" applyNumberFormat="1" applyFill="1">
      <alignment/>
      <protection/>
    </xf>
    <xf numFmtId="1" fontId="42" fillId="0" borderId="0" xfId="55" applyNumberFormat="1" applyFill="1">
      <alignment/>
      <protection/>
    </xf>
    <xf numFmtId="0" fontId="42" fillId="0" borderId="0" xfId="55" applyAlignment="1">
      <alignment wrapText="1"/>
      <protection/>
    </xf>
    <xf numFmtId="9" fontId="42" fillId="0" borderId="0" xfId="55" applyNumberFormat="1">
      <alignment/>
      <protection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4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64" fontId="4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46" fillId="0" borderId="0" xfId="0" applyFont="1" applyAlignment="1">
      <alignment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2" fillId="0" borderId="0" xfId="55" applyAlignment="1">
      <alignment horizontal="center"/>
      <protection/>
    </xf>
    <xf numFmtId="0" fontId="42" fillId="0" borderId="16" xfId="55" applyBorder="1">
      <alignment/>
      <protection/>
    </xf>
    <xf numFmtId="0" fontId="48" fillId="33" borderId="17" xfId="55" applyFont="1" applyFill="1" applyBorder="1" applyAlignment="1">
      <alignment vertical="center"/>
      <protection/>
    </xf>
    <xf numFmtId="0" fontId="48" fillId="33" borderId="18" xfId="55" applyFont="1" applyFill="1" applyBorder="1" applyAlignment="1">
      <alignment vertical="center"/>
      <protection/>
    </xf>
    <xf numFmtId="0" fontId="48" fillId="33" borderId="19" xfId="55" applyFont="1" applyFill="1" applyBorder="1" applyAlignment="1">
      <alignment vertical="center"/>
      <protection/>
    </xf>
    <xf numFmtId="164" fontId="42" fillId="0" borderId="12" xfId="55" applyNumberFormat="1" applyBorder="1">
      <alignment/>
      <protection/>
    </xf>
    <xf numFmtId="164" fontId="42" fillId="0" borderId="15" xfId="55" applyNumberFormat="1" applyBorder="1">
      <alignment/>
      <protection/>
    </xf>
    <xf numFmtId="164" fontId="42" fillId="0" borderId="20" xfId="55" applyNumberFormat="1" applyBorder="1">
      <alignment/>
      <protection/>
    </xf>
    <xf numFmtId="0" fontId="48" fillId="33" borderId="17" xfId="55" applyFont="1" applyFill="1" applyBorder="1">
      <alignment/>
      <protection/>
    </xf>
    <xf numFmtId="0" fontId="48" fillId="33" borderId="18" xfId="55" applyFont="1" applyFill="1" applyBorder="1">
      <alignment/>
      <protection/>
    </xf>
    <xf numFmtId="0" fontId="48" fillId="33" borderId="19" xfId="55" applyFont="1" applyFill="1" applyBorder="1">
      <alignment/>
      <protection/>
    </xf>
    <xf numFmtId="164" fontId="42" fillId="0" borderId="10" xfId="0" applyNumberFormat="1" applyFont="1" applyBorder="1" applyAlignment="1">
      <alignment/>
    </xf>
    <xf numFmtId="164" fontId="42" fillId="0" borderId="10" xfId="0" applyNumberFormat="1" applyFont="1" applyFill="1" applyBorder="1" applyAlignment="1">
      <alignment/>
    </xf>
    <xf numFmtId="164" fontId="42" fillId="0" borderId="12" xfId="0" applyNumberFormat="1" applyFont="1" applyBorder="1" applyAlignment="1">
      <alignment/>
    </xf>
    <xf numFmtId="164" fontId="42" fillId="0" borderId="14" xfId="0" applyNumberFormat="1" applyFont="1" applyBorder="1" applyAlignment="1">
      <alignment/>
    </xf>
    <xf numFmtId="164" fontId="42" fillId="0" borderId="15" xfId="0" applyNumberFormat="1" applyFont="1" applyBorder="1" applyAlignment="1">
      <alignment/>
    </xf>
    <xf numFmtId="0" fontId="42" fillId="0" borderId="21" xfId="0" applyFont="1" applyBorder="1" applyAlignment="1">
      <alignment/>
    </xf>
    <xf numFmtId="0" fontId="48" fillId="33" borderId="18" xfId="0" applyFont="1" applyFill="1" applyBorder="1" applyAlignment="1">
      <alignment/>
    </xf>
    <xf numFmtId="0" fontId="48" fillId="33" borderId="19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2" fillId="0" borderId="16" xfId="0" applyFont="1" applyBorder="1" applyAlignment="1">
      <alignment/>
    </xf>
    <xf numFmtId="164" fontId="42" fillId="0" borderId="22" xfId="0" applyNumberFormat="1" applyFont="1" applyBorder="1" applyAlignment="1">
      <alignment/>
    </xf>
    <xf numFmtId="164" fontId="42" fillId="0" borderId="20" xfId="0" applyNumberFormat="1" applyFont="1" applyBorder="1" applyAlignment="1">
      <alignment/>
    </xf>
    <xf numFmtId="164" fontId="42" fillId="0" borderId="21" xfId="0" applyNumberFormat="1" applyFont="1" applyBorder="1" applyAlignment="1">
      <alignment/>
    </xf>
    <xf numFmtId="164" fontId="42" fillId="0" borderId="23" xfId="0" applyNumberFormat="1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3" xfId="0" applyFont="1" applyBorder="1" applyAlignment="1">
      <alignment/>
    </xf>
    <xf numFmtId="164" fontId="42" fillId="0" borderId="25" xfId="0" applyNumberFormat="1" applyFont="1" applyBorder="1" applyAlignment="1">
      <alignment/>
    </xf>
    <xf numFmtId="164" fontId="42" fillId="0" borderId="26" xfId="0" applyNumberFormat="1" applyFont="1" applyBorder="1" applyAlignment="1">
      <alignment/>
    </xf>
    <xf numFmtId="164" fontId="42" fillId="0" borderId="27" xfId="0" applyNumberFormat="1" applyFont="1" applyBorder="1" applyAlignment="1">
      <alignment/>
    </xf>
    <xf numFmtId="164" fontId="42" fillId="0" borderId="17" xfId="0" applyNumberFormat="1" applyFont="1" applyBorder="1" applyAlignment="1">
      <alignment/>
    </xf>
    <xf numFmtId="164" fontId="42" fillId="0" borderId="18" xfId="0" applyNumberFormat="1" applyFont="1" applyBorder="1" applyAlignment="1">
      <alignment/>
    </xf>
    <xf numFmtId="164" fontId="42" fillId="0" borderId="19" xfId="0" applyNumberFormat="1" applyFont="1" applyBorder="1" applyAlignment="1">
      <alignment/>
    </xf>
    <xf numFmtId="2" fontId="48" fillId="33" borderId="23" xfId="55" applyNumberFormat="1" applyFont="1" applyFill="1" applyBorder="1" applyAlignment="1">
      <alignment horizontal="center" vertical="center" wrapText="1"/>
      <protection/>
    </xf>
    <xf numFmtId="0" fontId="48" fillId="33" borderId="13" xfId="0" applyFont="1" applyFill="1" applyBorder="1" applyAlignment="1">
      <alignment horizontal="center"/>
    </xf>
    <xf numFmtId="164" fontId="48" fillId="33" borderId="14" xfId="0" applyNumberFormat="1" applyFont="1" applyFill="1" applyBorder="1" applyAlignment="1">
      <alignment horizontal="center"/>
    </xf>
    <xf numFmtId="164" fontId="48" fillId="33" borderId="15" xfId="0" applyNumberFormat="1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164" fontId="48" fillId="33" borderId="27" xfId="0" applyNumberFormat="1" applyFont="1" applyFill="1" applyBorder="1" applyAlignment="1">
      <alignment horizontal="center"/>
    </xf>
    <xf numFmtId="0" fontId="49" fillId="0" borderId="28" xfId="55" applyFont="1" applyBorder="1" applyAlignment="1">
      <alignment/>
      <protection/>
    </xf>
    <xf numFmtId="0" fontId="50" fillId="0" borderId="28" xfId="0" applyFon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45" fillId="33" borderId="29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164" fontId="47" fillId="0" borderId="14" xfId="0" applyNumberFormat="1" applyFont="1" applyBorder="1" applyAlignment="1">
      <alignment/>
    </xf>
    <xf numFmtId="164" fontId="47" fillId="0" borderId="15" xfId="0" applyNumberFormat="1" applyFont="1" applyBorder="1" applyAlignment="1">
      <alignment/>
    </xf>
    <xf numFmtId="164" fontId="0" fillId="0" borderId="33" xfId="0" applyNumberFormat="1" applyBorder="1" applyAlignment="1">
      <alignment horizontal="center" wrapText="1"/>
    </xf>
    <xf numFmtId="164" fontId="0" fillId="0" borderId="21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30" xfId="0" applyNumberFormat="1" applyBorder="1" applyAlignment="1">
      <alignment horizontal="center" wrapText="1"/>
    </xf>
    <xf numFmtId="0" fontId="0" fillId="0" borderId="34" xfId="0" applyBorder="1" applyAlignment="1">
      <alignment/>
    </xf>
    <xf numFmtId="164" fontId="47" fillId="0" borderId="35" xfId="0" applyNumberFormat="1" applyFont="1" applyBorder="1" applyAlignment="1">
      <alignment/>
    </xf>
    <xf numFmtId="164" fontId="47" fillId="0" borderId="36" xfId="0" applyNumberFormat="1" applyFont="1" applyBorder="1" applyAlignment="1">
      <alignment/>
    </xf>
    <xf numFmtId="164" fontId="0" fillId="0" borderId="37" xfId="0" applyNumberFormat="1" applyBorder="1" applyAlignment="1">
      <alignment/>
    </xf>
    <xf numFmtId="0" fontId="47" fillId="0" borderId="38" xfId="0" applyFont="1" applyBorder="1" applyAlignment="1">
      <alignment horizontal="center" wrapText="1"/>
    </xf>
    <xf numFmtId="164" fontId="47" fillId="0" borderId="39" xfId="0" applyNumberFormat="1" applyFont="1" applyBorder="1" applyAlignment="1">
      <alignment/>
    </xf>
    <xf numFmtId="164" fontId="0" fillId="0" borderId="34" xfId="0" applyNumberFormat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40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45" fillId="33" borderId="41" xfId="0" applyFont="1" applyFill="1" applyBorder="1" applyAlignment="1">
      <alignment/>
    </xf>
    <xf numFmtId="0" fontId="45" fillId="33" borderId="42" xfId="0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8" fontId="42" fillId="0" borderId="10" xfId="0" applyNumberFormat="1" applyFont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6" fontId="42" fillId="0" borderId="10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167" fontId="42" fillId="0" borderId="10" xfId="0" applyNumberFormat="1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168" fontId="42" fillId="0" borderId="10" xfId="0" applyNumberFormat="1" applyFont="1" applyBorder="1" applyAlignment="1">
      <alignment horizontal="center"/>
    </xf>
    <xf numFmtId="165" fontId="42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/>
    </xf>
    <xf numFmtId="168" fontId="48" fillId="0" borderId="14" xfId="0" applyNumberFormat="1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8" fontId="42" fillId="0" borderId="12" xfId="0" applyNumberFormat="1" applyFont="1" applyBorder="1" applyAlignment="1">
      <alignment horizontal="center"/>
    </xf>
    <xf numFmtId="8" fontId="48" fillId="0" borderId="14" xfId="0" applyNumberFormat="1" applyFont="1" applyBorder="1" applyAlignment="1">
      <alignment horizontal="center"/>
    </xf>
    <xf numFmtId="0" fontId="42" fillId="34" borderId="15" xfId="0" applyFont="1" applyFill="1" applyBorder="1" applyAlignment="1">
      <alignment horizontal="center"/>
    </xf>
    <xf numFmtId="166" fontId="42" fillId="0" borderId="10" xfId="0" applyNumberFormat="1" applyFont="1" applyBorder="1" applyAlignment="1">
      <alignment horizontal="center"/>
    </xf>
    <xf numFmtId="166" fontId="48" fillId="0" borderId="14" xfId="0" applyNumberFormat="1" applyFont="1" applyBorder="1" applyAlignment="1">
      <alignment horizontal="center"/>
    </xf>
    <xf numFmtId="6" fontId="7" fillId="0" borderId="10" xfId="0" applyNumberFormat="1" applyFont="1" applyBorder="1" applyAlignment="1">
      <alignment horizontal="center"/>
    </xf>
    <xf numFmtId="8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42" fillId="0" borderId="12" xfId="0" applyNumberFormat="1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3" fontId="13" fillId="0" borderId="13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165" fontId="42" fillId="0" borderId="14" xfId="0" applyNumberFormat="1" applyFont="1" applyBorder="1" applyAlignment="1">
      <alignment horizontal="center"/>
    </xf>
    <xf numFmtId="0" fontId="42" fillId="0" borderId="30" xfId="0" applyFont="1" applyBorder="1" applyAlignment="1">
      <alignment/>
    </xf>
    <xf numFmtId="0" fontId="42" fillId="0" borderId="13" xfId="0" applyFont="1" applyFill="1" applyBorder="1" applyAlignment="1">
      <alignment horizontal="left"/>
    </xf>
    <xf numFmtId="0" fontId="42" fillId="34" borderId="12" xfId="0" applyFont="1" applyFill="1" applyBorder="1" applyAlignment="1">
      <alignment/>
    </xf>
    <xf numFmtId="0" fontId="0" fillId="34" borderId="15" xfId="0" applyFill="1" applyBorder="1" applyAlignment="1">
      <alignment/>
    </xf>
    <xf numFmtId="0" fontId="6" fillId="0" borderId="11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13" fillId="34" borderId="13" xfId="0" applyFont="1" applyFill="1" applyBorder="1" applyAlignment="1">
      <alignment/>
    </xf>
    <xf numFmtId="0" fontId="13" fillId="34" borderId="15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2" fontId="48" fillId="33" borderId="30" xfId="55" applyNumberFormat="1" applyFont="1" applyFill="1" applyBorder="1" applyAlignment="1">
      <alignment vertical="center" wrapText="1"/>
      <protection/>
    </xf>
    <xf numFmtId="2" fontId="48" fillId="33" borderId="43" xfId="55" applyNumberFormat="1" applyFont="1" applyFill="1" applyBorder="1" applyAlignment="1">
      <alignment vertical="center" wrapText="1"/>
      <protection/>
    </xf>
    <xf numFmtId="2" fontId="48" fillId="33" borderId="13" xfId="55" applyNumberFormat="1" applyFont="1" applyFill="1" applyBorder="1" applyAlignment="1">
      <alignment horizontal="center" vertical="center" wrapText="1"/>
      <protection/>
    </xf>
    <xf numFmtId="2" fontId="48" fillId="33" borderId="44" xfId="55" applyNumberFormat="1" applyFont="1" applyFill="1" applyBorder="1" applyAlignment="1">
      <alignment horizontal="center" vertical="center" wrapText="1"/>
      <protection/>
    </xf>
    <xf numFmtId="164" fontId="42" fillId="0" borderId="24" xfId="55" applyNumberFormat="1" applyBorder="1">
      <alignment/>
      <protection/>
    </xf>
    <xf numFmtId="164" fontId="42" fillId="0" borderId="11" xfId="55" applyNumberFormat="1" applyBorder="1">
      <alignment/>
      <protection/>
    </xf>
    <xf numFmtId="164" fontId="42" fillId="0" borderId="13" xfId="55" applyNumberFormat="1" applyBorder="1">
      <alignment/>
      <protection/>
    </xf>
    <xf numFmtId="165" fontId="42" fillId="0" borderId="24" xfId="55" applyNumberFormat="1" applyBorder="1">
      <alignment/>
      <protection/>
    </xf>
    <xf numFmtId="165" fontId="42" fillId="0" borderId="20" xfId="55" applyNumberFormat="1" applyBorder="1">
      <alignment/>
      <protection/>
    </xf>
    <xf numFmtId="165" fontId="42" fillId="0" borderId="34" xfId="55" applyNumberFormat="1" applyBorder="1">
      <alignment/>
      <protection/>
    </xf>
    <xf numFmtId="165" fontId="42" fillId="0" borderId="36" xfId="55" applyNumberFormat="1" applyBorder="1">
      <alignment/>
      <protection/>
    </xf>
    <xf numFmtId="3" fontId="42" fillId="0" borderId="24" xfId="55" applyNumberFormat="1" applyBorder="1">
      <alignment/>
      <protection/>
    </xf>
    <xf numFmtId="3" fontId="42" fillId="0" borderId="45" xfId="55" applyNumberFormat="1" applyBorder="1">
      <alignment/>
      <protection/>
    </xf>
    <xf numFmtId="3" fontId="42" fillId="0" borderId="34" xfId="55" applyNumberFormat="1" applyBorder="1">
      <alignment/>
      <protection/>
    </xf>
    <xf numFmtId="3" fontId="42" fillId="0" borderId="46" xfId="55" applyNumberFormat="1" applyBorder="1">
      <alignment/>
      <protection/>
    </xf>
    <xf numFmtId="2" fontId="48" fillId="33" borderId="27" xfId="55" applyNumberFormat="1" applyFont="1" applyFill="1" applyBorder="1" applyAlignment="1">
      <alignment horizontal="center" vertical="center" wrapText="1"/>
      <protection/>
    </xf>
    <xf numFmtId="0" fontId="42" fillId="0" borderId="25" xfId="55" applyBorder="1">
      <alignment/>
      <protection/>
    </xf>
    <xf numFmtId="164" fontId="42" fillId="0" borderId="16" xfId="55" applyNumberFormat="1" applyBorder="1">
      <alignment/>
      <protection/>
    </xf>
    <xf numFmtId="164" fontId="42" fillId="0" borderId="21" xfId="55" applyNumberFormat="1" applyBorder="1">
      <alignment/>
      <protection/>
    </xf>
    <xf numFmtId="164" fontId="42" fillId="0" borderId="23" xfId="55" applyNumberFormat="1" applyBorder="1">
      <alignment/>
      <protection/>
    </xf>
    <xf numFmtId="165" fontId="42" fillId="0" borderId="11" xfId="55" applyNumberFormat="1" applyBorder="1">
      <alignment/>
      <protection/>
    </xf>
    <xf numFmtId="165" fontId="42" fillId="0" borderId="12" xfId="55" applyNumberFormat="1" applyBorder="1">
      <alignment/>
      <protection/>
    </xf>
    <xf numFmtId="165" fontId="42" fillId="0" borderId="13" xfId="55" applyNumberFormat="1" applyBorder="1">
      <alignment/>
      <protection/>
    </xf>
    <xf numFmtId="165" fontId="42" fillId="0" borderId="15" xfId="55" applyNumberFormat="1" applyBorder="1">
      <alignment/>
      <protection/>
    </xf>
    <xf numFmtId="164" fontId="0" fillId="0" borderId="10" xfId="0" applyNumberFormat="1" applyFill="1" applyBorder="1" applyAlignment="1">
      <alignment/>
    </xf>
    <xf numFmtId="2" fontId="45" fillId="0" borderId="14" xfId="0" applyNumberFormat="1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13" fillId="0" borderId="3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16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64" fontId="45" fillId="0" borderId="14" xfId="0" applyNumberFormat="1" applyFont="1" applyBorder="1" applyAlignment="1">
      <alignment/>
    </xf>
    <xf numFmtId="1" fontId="42" fillId="0" borderId="21" xfId="55" applyNumberFormat="1" applyBorder="1">
      <alignment/>
      <protection/>
    </xf>
    <xf numFmtId="1" fontId="42" fillId="0" borderId="26" xfId="55" applyNumberFormat="1" applyBorder="1">
      <alignment/>
      <protection/>
    </xf>
    <xf numFmtId="1" fontId="42" fillId="0" borderId="23" xfId="55" applyNumberFormat="1" applyBorder="1">
      <alignment/>
      <protection/>
    </xf>
    <xf numFmtId="1" fontId="42" fillId="0" borderId="27" xfId="55" applyNumberFormat="1" applyBorder="1">
      <alignment/>
      <protection/>
    </xf>
    <xf numFmtId="2" fontId="48" fillId="33" borderId="15" xfId="55" applyNumberFormat="1" applyFont="1" applyFill="1" applyBorder="1" applyAlignment="1">
      <alignment horizontal="center" vertical="center" wrapText="1"/>
      <protection/>
    </xf>
    <xf numFmtId="169" fontId="42" fillId="0" borderId="24" xfId="55" applyNumberFormat="1" applyBorder="1">
      <alignment/>
      <protection/>
    </xf>
    <xf numFmtId="169" fontId="42" fillId="0" borderId="20" xfId="55" applyNumberFormat="1" applyBorder="1">
      <alignment/>
      <protection/>
    </xf>
    <xf numFmtId="169" fontId="42" fillId="0" borderId="11" xfId="55" applyNumberFormat="1" applyBorder="1">
      <alignment/>
      <protection/>
    </xf>
    <xf numFmtId="169" fontId="42" fillId="0" borderId="12" xfId="55" applyNumberFormat="1" applyBorder="1">
      <alignment/>
      <protection/>
    </xf>
    <xf numFmtId="169" fontId="42" fillId="0" borderId="13" xfId="55" applyNumberFormat="1" applyBorder="1">
      <alignment/>
      <protection/>
    </xf>
    <xf numFmtId="169" fontId="42" fillId="0" borderId="15" xfId="55" applyNumberFormat="1" applyBorder="1">
      <alignment/>
      <protection/>
    </xf>
    <xf numFmtId="0" fontId="0" fillId="0" borderId="47" xfId="0" applyBorder="1" applyAlignment="1">
      <alignment horizontal="left"/>
    </xf>
    <xf numFmtId="2" fontId="51" fillId="0" borderId="14" xfId="0" applyNumberFormat="1" applyFont="1" applyBorder="1" applyAlignment="1">
      <alignment/>
    </xf>
    <xf numFmtId="0" fontId="45" fillId="33" borderId="47" xfId="0" applyFont="1" applyFill="1" applyBorder="1" applyAlignment="1">
      <alignment horizontal="center" wrapText="1"/>
    </xf>
    <xf numFmtId="0" fontId="45" fillId="33" borderId="48" xfId="0" applyFont="1" applyFill="1" applyBorder="1" applyAlignment="1">
      <alignment horizontal="center" wrapText="1"/>
    </xf>
    <xf numFmtId="0" fontId="45" fillId="33" borderId="29" xfId="0" applyFont="1" applyFill="1" applyBorder="1" applyAlignment="1">
      <alignment horizontal="center" wrapText="1"/>
    </xf>
    <xf numFmtId="0" fontId="45" fillId="33" borderId="49" xfId="0" applyFont="1" applyFill="1" applyBorder="1" applyAlignment="1">
      <alignment horizontal="center" wrapText="1"/>
    </xf>
    <xf numFmtId="0" fontId="45" fillId="33" borderId="50" xfId="0" applyFont="1" applyFill="1" applyBorder="1" applyAlignment="1">
      <alignment horizontal="center" wrapText="1"/>
    </xf>
    <xf numFmtId="164" fontId="45" fillId="33" borderId="51" xfId="0" applyNumberFormat="1" applyFont="1" applyFill="1" applyBorder="1" applyAlignment="1">
      <alignment horizontal="center" wrapText="1"/>
    </xf>
    <xf numFmtId="164" fontId="45" fillId="33" borderId="49" xfId="0" applyNumberFormat="1" applyFont="1" applyFill="1" applyBorder="1" applyAlignment="1">
      <alignment horizontal="center" wrapText="1"/>
    </xf>
    <xf numFmtId="164" fontId="45" fillId="33" borderId="52" xfId="0" applyNumberFormat="1" applyFont="1" applyFill="1" applyBorder="1" applyAlignment="1">
      <alignment horizontal="center" wrapText="1"/>
    </xf>
    <xf numFmtId="164" fontId="13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42" fillId="0" borderId="0" xfId="0" applyFont="1" applyFill="1" applyBorder="1" applyAlignment="1">
      <alignment horizontal="left"/>
    </xf>
    <xf numFmtId="0" fontId="49" fillId="0" borderId="53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8" fillId="33" borderId="55" xfId="0" applyFont="1" applyFill="1" applyBorder="1" applyAlignment="1">
      <alignment horizontal="center"/>
    </xf>
    <xf numFmtId="0" fontId="48" fillId="33" borderId="47" xfId="0" applyFont="1" applyFill="1" applyBorder="1" applyAlignment="1">
      <alignment horizontal="center"/>
    </xf>
    <xf numFmtId="0" fontId="48" fillId="33" borderId="48" xfId="0" applyFont="1" applyFill="1" applyBorder="1" applyAlignment="1">
      <alignment horizontal="center"/>
    </xf>
    <xf numFmtId="0" fontId="42" fillId="0" borderId="47" xfId="0" applyFont="1" applyBorder="1" applyAlignment="1">
      <alignment horizontal="left"/>
    </xf>
    <xf numFmtId="0" fontId="48" fillId="33" borderId="30" xfId="0" applyFont="1" applyFill="1" applyBorder="1" applyAlignment="1">
      <alignment horizontal="center"/>
    </xf>
    <xf numFmtId="0" fontId="48" fillId="33" borderId="31" xfId="0" applyFont="1" applyFill="1" applyBorder="1" applyAlignment="1">
      <alignment horizontal="center"/>
    </xf>
    <xf numFmtId="0" fontId="48" fillId="33" borderId="32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33" borderId="53" xfId="0" applyFont="1" applyFill="1" applyBorder="1" applyAlignment="1">
      <alignment horizontal="center"/>
    </xf>
    <xf numFmtId="0" fontId="48" fillId="33" borderId="54" xfId="0" applyFont="1" applyFill="1" applyBorder="1" applyAlignment="1">
      <alignment horizontal="center"/>
    </xf>
    <xf numFmtId="0" fontId="48" fillId="33" borderId="28" xfId="0" applyFont="1" applyFill="1" applyBorder="1" applyAlignment="1">
      <alignment horizontal="center"/>
    </xf>
    <xf numFmtId="0" fontId="48" fillId="0" borderId="31" xfId="0" applyFont="1" applyBorder="1" applyAlignment="1">
      <alignment horizontal="center"/>
    </xf>
    <xf numFmtId="164" fontId="48" fillId="33" borderId="56" xfId="0" applyNumberFormat="1" applyFont="1" applyFill="1" applyBorder="1" applyAlignment="1">
      <alignment horizontal="center"/>
    </xf>
    <xf numFmtId="164" fontId="48" fillId="33" borderId="57" xfId="0" applyNumberFormat="1" applyFont="1" applyFill="1" applyBorder="1" applyAlignment="1">
      <alignment horizontal="center"/>
    </xf>
    <xf numFmtId="0" fontId="48" fillId="33" borderId="29" xfId="0" applyFont="1" applyFill="1" applyBorder="1" applyAlignment="1">
      <alignment horizontal="center"/>
    </xf>
    <xf numFmtId="0" fontId="48" fillId="33" borderId="49" xfId="0" applyFont="1" applyFill="1" applyBorder="1" applyAlignment="1">
      <alignment horizontal="center"/>
    </xf>
    <xf numFmtId="0" fontId="48" fillId="33" borderId="50" xfId="0" applyFont="1" applyFill="1" applyBorder="1" applyAlignment="1">
      <alignment horizontal="center"/>
    </xf>
    <xf numFmtId="0" fontId="45" fillId="33" borderId="55" xfId="0" applyFont="1" applyFill="1" applyBorder="1" applyAlignment="1">
      <alignment horizontal="center"/>
    </xf>
    <xf numFmtId="0" fontId="45" fillId="33" borderId="47" xfId="0" applyFont="1" applyFill="1" applyBorder="1" applyAlignment="1">
      <alignment horizontal="center"/>
    </xf>
    <xf numFmtId="0" fontId="45" fillId="33" borderId="48" xfId="0" applyFont="1" applyFill="1" applyBorder="1" applyAlignment="1">
      <alignment horizontal="center"/>
    </xf>
    <xf numFmtId="0" fontId="45" fillId="33" borderId="58" xfId="0" applyFont="1" applyFill="1" applyBorder="1" applyAlignment="1">
      <alignment horizontal="center"/>
    </xf>
    <xf numFmtId="0" fontId="45" fillId="33" borderId="59" xfId="0" applyFont="1" applyFill="1" applyBorder="1" applyAlignment="1">
      <alignment horizontal="center"/>
    </xf>
    <xf numFmtId="0" fontId="45" fillId="33" borderId="60" xfId="0" applyFont="1" applyFill="1" applyBorder="1" applyAlignment="1">
      <alignment horizontal="center"/>
    </xf>
    <xf numFmtId="0" fontId="45" fillId="33" borderId="61" xfId="0" applyFont="1" applyFill="1" applyBorder="1" applyAlignment="1">
      <alignment horizontal="center"/>
    </xf>
    <xf numFmtId="0" fontId="45" fillId="33" borderId="62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45" fillId="33" borderId="31" xfId="0" applyFont="1" applyFill="1" applyBorder="1" applyAlignment="1">
      <alignment horizontal="center"/>
    </xf>
    <xf numFmtId="0" fontId="45" fillId="33" borderId="32" xfId="0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48" fillId="33" borderId="24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8" fillId="33" borderId="25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61" xfId="0" applyFont="1" applyFill="1" applyBorder="1" applyAlignment="1">
      <alignment horizontal="center"/>
    </xf>
    <xf numFmtId="0" fontId="48" fillId="33" borderId="62" xfId="0" applyFont="1" applyFill="1" applyBorder="1" applyAlignment="1">
      <alignment horizontal="center"/>
    </xf>
    <xf numFmtId="0" fontId="50" fillId="0" borderId="53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48" fillId="33" borderId="58" xfId="55" applyFont="1" applyFill="1" applyBorder="1" applyAlignment="1">
      <alignment horizontal="center" vertical="center" wrapText="1"/>
      <protection/>
    </xf>
    <xf numFmtId="0" fontId="48" fillId="33" borderId="62" xfId="55" applyFont="1" applyFill="1" applyBorder="1" applyAlignment="1">
      <alignment horizontal="center" vertical="center" wrapText="1"/>
      <protection/>
    </xf>
    <xf numFmtId="0" fontId="49" fillId="0" borderId="53" xfId="55" applyFont="1" applyBorder="1" applyAlignment="1">
      <alignment horizontal="center"/>
      <protection/>
    </xf>
    <xf numFmtId="0" fontId="49" fillId="0" borderId="54" xfId="55" applyFont="1" applyBorder="1" applyAlignment="1">
      <alignment horizontal="center"/>
      <protection/>
    </xf>
    <xf numFmtId="0" fontId="49" fillId="0" borderId="28" xfId="55" applyFont="1" applyBorder="1" applyAlignment="1">
      <alignment horizontal="center"/>
      <protection/>
    </xf>
    <xf numFmtId="0" fontId="42" fillId="0" borderId="47" xfId="55" applyFont="1" applyBorder="1" applyAlignment="1">
      <alignment horizontal="left"/>
      <protection/>
    </xf>
    <xf numFmtId="164" fontId="48" fillId="33" borderId="33" xfId="55" applyNumberFormat="1" applyFont="1" applyFill="1" applyBorder="1" applyAlignment="1">
      <alignment horizontal="center" vertical="center" wrapText="1"/>
      <protection/>
    </xf>
    <xf numFmtId="164" fontId="48" fillId="33" borderId="23" xfId="55" applyNumberFormat="1" applyFont="1" applyFill="1" applyBorder="1" applyAlignment="1">
      <alignment horizontal="center" vertical="center" wrapText="1"/>
      <protection/>
    </xf>
    <xf numFmtId="164" fontId="42" fillId="0" borderId="0" xfId="55" applyNumberFormat="1" applyFont="1" applyAlignment="1">
      <alignment horizontal="center" wrapText="1"/>
      <protection/>
    </xf>
    <xf numFmtId="164" fontId="42" fillId="0" borderId="0" xfId="55" applyNumberFormat="1" applyAlignment="1">
      <alignment horizontal="center" wrapText="1"/>
      <protection/>
    </xf>
    <xf numFmtId="0" fontId="48" fillId="33" borderId="30" xfId="55" applyFont="1" applyFill="1" applyBorder="1" applyAlignment="1">
      <alignment horizontal="center" vertical="center" wrapText="1"/>
      <protection/>
    </xf>
    <xf numFmtId="0" fontId="48" fillId="33" borderId="13" xfId="55" applyFont="1" applyFill="1" applyBorder="1" applyAlignment="1">
      <alignment horizontal="center" vertical="center" wrapText="1"/>
      <protection/>
    </xf>
    <xf numFmtId="0" fontId="48" fillId="33" borderId="32" xfId="55" applyFont="1" applyFill="1" applyBorder="1" applyAlignment="1">
      <alignment horizontal="center" vertical="center" wrapText="1"/>
      <protection/>
    </xf>
    <xf numFmtId="0" fontId="48" fillId="33" borderId="15" xfId="55" applyFont="1" applyFill="1" applyBorder="1" applyAlignment="1">
      <alignment horizontal="center" vertical="center" wrapText="1"/>
      <protection/>
    </xf>
    <xf numFmtId="2" fontId="48" fillId="33" borderId="30" xfId="55" applyNumberFormat="1" applyFont="1" applyFill="1" applyBorder="1" applyAlignment="1">
      <alignment horizontal="center" vertical="center" wrapText="1"/>
      <protection/>
    </xf>
    <xf numFmtId="2" fontId="48" fillId="33" borderId="32" xfId="55" applyNumberFormat="1" applyFont="1" applyFill="1" applyBorder="1" applyAlignment="1">
      <alignment horizontal="center" vertical="center" wrapText="1"/>
      <protection/>
    </xf>
    <xf numFmtId="164" fontId="48" fillId="33" borderId="32" xfId="55" applyNumberFormat="1" applyFont="1" applyFill="1" applyBorder="1" applyAlignment="1">
      <alignment horizontal="center" vertical="center" wrapText="1"/>
      <protection/>
    </xf>
    <xf numFmtId="164" fontId="48" fillId="33" borderId="15" xfId="55" applyNumberFormat="1" applyFont="1" applyFill="1" applyBorder="1" applyAlignment="1">
      <alignment horizontal="center" vertical="center" wrapText="1"/>
      <protection/>
    </xf>
    <xf numFmtId="0" fontId="48" fillId="33" borderId="17" xfId="55" applyFont="1" applyFill="1" applyBorder="1" applyAlignment="1">
      <alignment horizontal="center" vertical="center" wrapText="1"/>
      <protection/>
    </xf>
    <xf numFmtId="0" fontId="48" fillId="33" borderId="19" xfId="55" applyFont="1" applyFill="1" applyBorder="1" applyAlignment="1">
      <alignment horizontal="center" vertical="center" wrapText="1"/>
      <protection/>
    </xf>
    <xf numFmtId="2" fontId="48" fillId="33" borderId="16" xfId="55" applyNumberFormat="1" applyFont="1" applyFill="1" applyBorder="1" applyAlignment="1">
      <alignment horizontal="center" vertical="center" wrapText="1"/>
      <protection/>
    </xf>
    <xf numFmtId="2" fontId="48" fillId="33" borderId="25" xfId="55" applyNumberFormat="1" applyFont="1" applyFill="1" applyBorder="1" applyAlignment="1">
      <alignment horizontal="center" vertical="center" wrapText="1"/>
      <protection/>
    </xf>
    <xf numFmtId="164" fontId="48" fillId="33" borderId="16" xfId="55" applyNumberFormat="1" applyFont="1" applyFill="1" applyBorder="1" applyAlignment="1">
      <alignment horizontal="center" vertical="center" wrapText="1"/>
      <protection/>
    </xf>
    <xf numFmtId="164" fontId="48" fillId="33" borderId="20" xfId="55" applyNumberFormat="1" applyFont="1" applyFill="1" applyBorder="1" applyAlignment="1">
      <alignment horizontal="center" vertical="center" wrapText="1"/>
      <protection/>
    </xf>
    <xf numFmtId="0" fontId="49" fillId="0" borderId="47" xfId="55" applyFont="1" applyBorder="1" applyAlignment="1">
      <alignment horizontal="center"/>
      <protection/>
    </xf>
    <xf numFmtId="0" fontId="48" fillId="33" borderId="55" xfId="55" applyFont="1" applyFill="1" applyBorder="1" applyAlignment="1">
      <alignment horizontal="center" vertical="center" wrapText="1"/>
      <protection/>
    </xf>
    <xf numFmtId="0" fontId="48" fillId="33" borderId="60" xfId="55" applyFont="1" applyFill="1" applyBorder="1" applyAlignment="1">
      <alignment horizontal="center" vertical="center" wrapText="1"/>
      <protection/>
    </xf>
    <xf numFmtId="164" fontId="48" fillId="33" borderId="30" xfId="55" applyNumberFormat="1" applyFont="1" applyFill="1" applyBorder="1" applyAlignment="1">
      <alignment horizontal="center" vertical="center" wrapText="1"/>
      <protection/>
    </xf>
    <xf numFmtId="164" fontId="48" fillId="33" borderId="13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85" zoomScaleNormal="85" zoomScalePageLayoutView="0" workbookViewId="0" topLeftCell="A1">
      <selection activeCell="G14" sqref="G14"/>
    </sheetView>
  </sheetViews>
  <sheetFormatPr defaultColWidth="9.140625" defaultRowHeight="15"/>
  <cols>
    <col min="2" max="2" width="10.8515625" style="0" customWidth="1"/>
    <col min="3" max="4" width="10.8515625" style="2" customWidth="1"/>
    <col min="5" max="5" width="10.8515625" style="0" customWidth="1"/>
    <col min="6" max="10" width="10.8515625" style="2" customWidth="1"/>
    <col min="11" max="11" width="10.8515625" style="0" customWidth="1"/>
    <col min="12" max="13" width="10.8515625" style="2" customWidth="1"/>
    <col min="14" max="14" width="11.57421875" style="0" bestFit="1" customWidth="1"/>
  </cols>
  <sheetData>
    <row r="1" spans="1:2" ht="15">
      <c r="A1" t="s">
        <v>9</v>
      </c>
      <c r="B1">
        <v>2014</v>
      </c>
    </row>
    <row r="3" spans="1:11" ht="15">
      <c r="A3" t="s">
        <v>5</v>
      </c>
      <c r="B3" s="3">
        <v>0.03</v>
      </c>
      <c r="C3" s="209" t="s">
        <v>24</v>
      </c>
      <c r="D3" s="209"/>
      <c r="E3" s="209"/>
      <c r="F3" s="209"/>
      <c r="G3" s="209"/>
      <c r="H3" s="209"/>
      <c r="I3" s="209"/>
      <c r="J3" s="209"/>
      <c r="K3" s="209"/>
    </row>
    <row r="4" spans="1:11" ht="15">
      <c r="A4" t="s">
        <v>42</v>
      </c>
      <c r="B4" s="3">
        <v>0.07</v>
      </c>
      <c r="C4" s="209"/>
      <c r="D4" s="209"/>
      <c r="E4" s="209"/>
      <c r="F4" s="209"/>
      <c r="G4" s="209"/>
      <c r="H4" s="209"/>
      <c r="I4" s="209"/>
      <c r="J4" s="209"/>
      <c r="K4" s="209"/>
    </row>
    <row r="5" spans="1:11" ht="15" hidden="1">
      <c r="A5" t="s">
        <v>23</v>
      </c>
      <c r="B5" s="3">
        <v>0</v>
      </c>
      <c r="C5" s="209"/>
      <c r="D5" s="209"/>
      <c r="E5" s="209"/>
      <c r="F5" s="209"/>
      <c r="G5" s="209"/>
      <c r="H5" s="209"/>
      <c r="I5" s="209"/>
      <c r="J5" s="209"/>
      <c r="K5" s="209"/>
    </row>
    <row r="6" ht="15.75" thickBot="1"/>
    <row r="7" spans="1:13" s="1" customFormat="1" ht="15.75" thickBot="1">
      <c r="A7" s="69" t="s">
        <v>0</v>
      </c>
      <c r="B7" s="203" t="s">
        <v>116</v>
      </c>
      <c r="C7" s="204"/>
      <c r="D7" s="205"/>
      <c r="E7" s="206" t="s">
        <v>2</v>
      </c>
      <c r="F7" s="207"/>
      <c r="G7" s="208"/>
      <c r="H7" s="203" t="s">
        <v>4</v>
      </c>
      <c r="I7" s="204"/>
      <c r="J7" s="205"/>
      <c r="K7" s="201" t="s">
        <v>3</v>
      </c>
      <c r="L7" s="201"/>
      <c r="M7" s="202"/>
    </row>
    <row r="8" spans="1:13" s="1" customFormat="1" ht="15">
      <c r="A8" s="75"/>
      <c r="B8" s="83" t="s">
        <v>8</v>
      </c>
      <c r="C8" s="76" t="s">
        <v>44</v>
      </c>
      <c r="D8" s="77" t="s">
        <v>43</v>
      </c>
      <c r="E8" s="80" t="s">
        <v>8</v>
      </c>
      <c r="F8" s="76" t="s">
        <v>44</v>
      </c>
      <c r="G8" s="88" t="s">
        <v>43</v>
      </c>
      <c r="H8" s="83" t="s">
        <v>8</v>
      </c>
      <c r="I8" s="76" t="s">
        <v>44</v>
      </c>
      <c r="J8" s="77" t="s">
        <v>43</v>
      </c>
      <c r="K8" s="80" t="s">
        <v>8</v>
      </c>
      <c r="L8" s="76" t="s">
        <v>44</v>
      </c>
      <c r="M8" s="77" t="s">
        <v>43</v>
      </c>
    </row>
    <row r="9" spans="1:13" ht="15">
      <c r="A9" s="14">
        <v>2014</v>
      </c>
      <c r="B9" s="67">
        <f>'ATT 3 - Const and Maint'!H4</f>
        <v>0</v>
      </c>
      <c r="C9" s="13">
        <f>B9/(1+$B$3)^($A9-$A$9)</f>
        <v>0</v>
      </c>
      <c r="D9" s="15">
        <f>B9/(1+$B$4)^($A9-$A$9)</f>
        <v>0</v>
      </c>
      <c r="E9" s="81">
        <f>'ATT 4 - Travel Time Benefits'!G4</f>
        <v>0</v>
      </c>
      <c r="F9" s="13">
        <f>E9/(1+$B$3)^($A9-$A$9)</f>
        <v>0</v>
      </c>
      <c r="G9" s="15">
        <f>E9/(1+$B$4)^($A9-$A$9)</f>
        <v>0</v>
      </c>
      <c r="H9" s="67">
        <f>'ATT 5 - Operating Benefits'!G4</f>
        <v>0</v>
      </c>
      <c r="I9" s="13">
        <f>H9/(1+$B$3)^($A9-$A$9)</f>
        <v>0</v>
      </c>
      <c r="J9" s="15">
        <f>H9/(1+$B$4)^($A9-$A$9)</f>
        <v>0</v>
      </c>
      <c r="K9" s="81">
        <f>'ATT 6 - Safety Benefits'!G4</f>
        <v>0</v>
      </c>
      <c r="L9" s="13">
        <f>K9/(1+$B$3)^($A9-$A$9)</f>
        <v>0</v>
      </c>
      <c r="M9" s="15">
        <f>K9/(1+$B$4)^($A9-$A$9)</f>
        <v>0</v>
      </c>
    </row>
    <row r="10" spans="1:13" ht="15">
      <c r="A10" s="14">
        <v>2015</v>
      </c>
      <c r="B10" s="67">
        <f>'ATT 3 - Const and Maint'!H5</f>
        <v>2100000</v>
      </c>
      <c r="C10" s="13">
        <f aca="true" t="shared" si="0" ref="C10:C33">B10/(1+$B$3)^($A10-$A$9)</f>
        <v>2038834.9514563107</v>
      </c>
      <c r="D10" s="15">
        <f aca="true" t="shared" si="1" ref="D10:D33">B10/(1+$B$4)^($A10-$A$9)</f>
        <v>1962616.8224299063</v>
      </c>
      <c r="E10" s="81">
        <f>'ATT 4 - Travel Time Benefits'!G5</f>
        <v>0</v>
      </c>
      <c r="F10" s="13">
        <f aca="true" t="shared" si="2" ref="F10:F33">E10/(1+$B$3)^($A10-$A$9)</f>
        <v>0</v>
      </c>
      <c r="G10" s="15">
        <f aca="true" t="shared" si="3" ref="G10:G33">E10/(1+$B$4)^($A10-$A$9)</f>
        <v>0</v>
      </c>
      <c r="H10" s="67">
        <f>'ATT 5 - Operating Benefits'!G5</f>
        <v>0</v>
      </c>
      <c r="I10" s="13">
        <f aca="true" t="shared" si="4" ref="I10:I33">H10/(1+$B$3)^($A10-$A$9)</f>
        <v>0</v>
      </c>
      <c r="J10" s="15">
        <f aca="true" t="shared" si="5" ref="J10:J33">H10/(1+$B$4)^($A10-$A$9)</f>
        <v>0</v>
      </c>
      <c r="K10" s="81">
        <f>'ATT 6 - Safety Benefits'!G5</f>
        <v>0</v>
      </c>
      <c r="L10" s="13">
        <f aca="true" t="shared" si="6" ref="L10:L33">K10/(1+$B$3)^($A10-$A$9)</f>
        <v>0</v>
      </c>
      <c r="M10" s="15">
        <f aca="true" t="shared" si="7" ref="M10:M33">K10/(1+$B$4)^($A10-$A$9)</f>
        <v>0</v>
      </c>
    </row>
    <row r="11" spans="1:13" ht="15">
      <c r="A11" s="14">
        <v>2016</v>
      </c>
      <c r="B11" s="67">
        <f>'ATT 3 - Const and Maint'!H6</f>
        <v>3712500.0000000005</v>
      </c>
      <c r="C11" s="13">
        <f t="shared" si="0"/>
        <v>3499387.312659064</v>
      </c>
      <c r="D11" s="15">
        <f t="shared" si="1"/>
        <v>3242641.2787142987</v>
      </c>
      <c r="E11" s="81">
        <f>'ATT 4 - Travel Time Benefits'!G6</f>
        <v>0</v>
      </c>
      <c r="F11" s="13">
        <f t="shared" si="2"/>
        <v>0</v>
      </c>
      <c r="G11" s="15">
        <f t="shared" si="3"/>
        <v>0</v>
      </c>
      <c r="H11" s="67">
        <f>'ATT 5 - Operating Benefits'!G6</f>
        <v>0</v>
      </c>
      <c r="I11" s="13">
        <f t="shared" si="4"/>
        <v>0</v>
      </c>
      <c r="J11" s="15">
        <f t="shared" si="5"/>
        <v>0</v>
      </c>
      <c r="K11" s="81">
        <f>'ATT 6 - Safety Benefits'!G6</f>
        <v>0</v>
      </c>
      <c r="L11" s="13">
        <f t="shared" si="6"/>
        <v>0</v>
      </c>
      <c r="M11" s="15">
        <f t="shared" si="7"/>
        <v>0</v>
      </c>
    </row>
    <row r="12" spans="1:13" ht="15">
      <c r="A12" s="14">
        <v>2017</v>
      </c>
      <c r="B12" s="67">
        <f>'ATT 3 - Const and Maint'!H7</f>
        <v>7975000.000000001</v>
      </c>
      <c r="C12" s="13">
        <f t="shared" si="0"/>
        <v>7298254.733341448</v>
      </c>
      <c r="D12" s="15">
        <f t="shared" si="1"/>
        <v>6509975.5682045445</v>
      </c>
      <c r="E12" s="81">
        <f>'ATT 4 - Travel Time Benefits'!G7</f>
        <v>0</v>
      </c>
      <c r="F12" s="13">
        <f t="shared" si="2"/>
        <v>0</v>
      </c>
      <c r="G12" s="15">
        <f t="shared" si="3"/>
        <v>0</v>
      </c>
      <c r="H12" s="67">
        <f>'ATT 5 - Operating Benefits'!G7</f>
        <v>0</v>
      </c>
      <c r="I12" s="13">
        <f t="shared" si="4"/>
        <v>0</v>
      </c>
      <c r="J12" s="15">
        <f t="shared" si="5"/>
        <v>0</v>
      </c>
      <c r="K12" s="81">
        <f>'ATT 6 - Safety Benefits'!G7</f>
        <v>0</v>
      </c>
      <c r="L12" s="13">
        <f t="shared" si="6"/>
        <v>0</v>
      </c>
      <c r="M12" s="15">
        <f t="shared" si="7"/>
        <v>0</v>
      </c>
    </row>
    <row r="13" spans="1:13" ht="15">
      <c r="A13" s="14">
        <v>2018</v>
      </c>
      <c r="B13" s="67">
        <f>'ATT 3 - Const and Maint'!H8</f>
        <v>3712500.0000000005</v>
      </c>
      <c r="C13" s="13">
        <f t="shared" si="0"/>
        <v>3298508.1653869958</v>
      </c>
      <c r="D13" s="15">
        <f t="shared" si="1"/>
        <v>2832248.4747264376</v>
      </c>
      <c r="E13" s="81">
        <f>'ATT 4 - Travel Time Benefits'!G8</f>
        <v>0</v>
      </c>
      <c r="F13" s="13">
        <f t="shared" si="2"/>
        <v>0</v>
      </c>
      <c r="G13" s="15">
        <f t="shared" si="3"/>
        <v>0</v>
      </c>
      <c r="H13" s="67">
        <f>'ATT 5 - Operating Benefits'!G8</f>
        <v>0</v>
      </c>
      <c r="I13" s="13">
        <f t="shared" si="4"/>
        <v>0</v>
      </c>
      <c r="J13" s="15">
        <f t="shared" si="5"/>
        <v>0</v>
      </c>
      <c r="K13" s="81">
        <f>'ATT 6 - Safety Benefits'!G8</f>
        <v>0</v>
      </c>
      <c r="L13" s="13">
        <f t="shared" si="6"/>
        <v>0</v>
      </c>
      <c r="M13" s="15">
        <f t="shared" si="7"/>
        <v>0</v>
      </c>
    </row>
    <row r="14" spans="1:13" ht="15">
      <c r="A14" s="14">
        <v>2019</v>
      </c>
      <c r="B14" s="67">
        <f>'ATT 3 - Const and Maint'!H9</f>
        <v>0</v>
      </c>
      <c r="C14" s="13">
        <f t="shared" si="0"/>
        <v>0</v>
      </c>
      <c r="D14" s="15">
        <f t="shared" si="1"/>
        <v>0</v>
      </c>
      <c r="E14" s="81">
        <f>'ATT 4 - Travel Time Benefits'!G9</f>
        <v>4273144.826500972</v>
      </c>
      <c r="F14" s="13">
        <f>E14/(1+$B$3)^($A14-$A$9)</f>
        <v>3686052.264285483</v>
      </c>
      <c r="G14" s="15">
        <f t="shared" si="3"/>
        <v>3046693.2042273306</v>
      </c>
      <c r="H14" s="67">
        <f>'ATT 5 - Operating Benefits'!G9</f>
        <v>6400894.22433747</v>
      </c>
      <c r="I14" s="13">
        <f t="shared" si="4"/>
        <v>5521467.585827362</v>
      </c>
      <c r="J14" s="15">
        <f t="shared" si="5"/>
        <v>4563749.118289451</v>
      </c>
      <c r="K14" s="81">
        <f>'ATT 6 - Safety Benefits'!G9</f>
        <v>5953723.59891963</v>
      </c>
      <c r="L14" s="13">
        <f t="shared" si="6"/>
        <v>5135734.276223373</v>
      </c>
      <c r="M14" s="15">
        <f t="shared" si="7"/>
        <v>4244922.642495464</v>
      </c>
    </row>
    <row r="15" spans="1:13" ht="15">
      <c r="A15" s="14">
        <v>2020</v>
      </c>
      <c r="B15" s="67">
        <f>'ATT 3 - Const and Maint'!H10</f>
        <v>0</v>
      </c>
      <c r="C15" s="13">
        <f t="shared" si="0"/>
        <v>0</v>
      </c>
      <c r="D15" s="15">
        <f t="shared" si="1"/>
        <v>0</v>
      </c>
      <c r="E15" s="81">
        <f>'ATT 4 - Travel Time Benefits'!G10</f>
        <v>3890362.3550000004</v>
      </c>
      <c r="F15" s="13">
        <f>E15/(1+$B$3)^($A15-$A$9)</f>
        <v>3258117.2251072465</v>
      </c>
      <c r="G15" s="15">
        <f t="shared" si="3"/>
        <v>2592312.703082745</v>
      </c>
      <c r="H15" s="67">
        <f>'ATT 5 - Operating Benefits'!G10</f>
        <v>5927786.832894497</v>
      </c>
      <c r="I15" s="13">
        <f t="shared" si="4"/>
        <v>4964428.149525802</v>
      </c>
      <c r="J15" s="15">
        <f t="shared" si="5"/>
        <v>3949934.6605411605</v>
      </c>
      <c r="K15" s="81">
        <f>'ATT 6 - Safety Benefits'!G10</f>
        <v>5513667.796943186</v>
      </c>
      <c r="L15" s="13">
        <f t="shared" si="6"/>
        <v>4617609.976523566</v>
      </c>
      <c r="M15" s="15">
        <f t="shared" si="7"/>
        <v>3673989.6612006137</v>
      </c>
    </row>
    <row r="16" spans="1:13" ht="15">
      <c r="A16" s="14">
        <v>2021</v>
      </c>
      <c r="B16" s="67">
        <f>'ATT 3 - Const and Maint'!H11</f>
        <v>0</v>
      </c>
      <c r="C16" s="13">
        <f t="shared" si="0"/>
        <v>0</v>
      </c>
      <c r="D16" s="15">
        <f t="shared" si="1"/>
        <v>0</v>
      </c>
      <c r="E16" s="81">
        <f>'ATT 4 - Travel Time Benefits'!G11</f>
        <v>3507579.88349903</v>
      </c>
      <c r="F16" s="13">
        <f>E16/(1+$B$3)^($A16-$A$9)</f>
        <v>2851983.428631771</v>
      </c>
      <c r="G16" s="15">
        <f t="shared" si="3"/>
        <v>2184344.4670886053</v>
      </c>
      <c r="H16" s="67">
        <f>'ATT 5 - Operating Benefits'!G11</f>
        <v>5454679.441451523</v>
      </c>
      <c r="I16" s="13">
        <f t="shared" si="4"/>
        <v>4435153.55094334</v>
      </c>
      <c r="J16" s="15">
        <f t="shared" si="5"/>
        <v>3396900.214227122</v>
      </c>
      <c r="K16" s="81">
        <f>'ATT 6 - Safety Benefits'!G11</f>
        <v>5073611.994966699</v>
      </c>
      <c r="L16" s="13">
        <f t="shared" si="6"/>
        <v>4125310.8449572413</v>
      </c>
      <c r="M16" s="15">
        <f t="shared" si="7"/>
        <v>3159590.560288077</v>
      </c>
    </row>
    <row r="17" spans="1:13" ht="15">
      <c r="A17" s="14">
        <v>2022</v>
      </c>
      <c r="B17" s="67">
        <f>'ATT 3 - Const and Maint'!H12</f>
        <v>0</v>
      </c>
      <c r="C17" s="13">
        <f t="shared" si="0"/>
        <v>0</v>
      </c>
      <c r="D17" s="15">
        <f t="shared" si="1"/>
        <v>0</v>
      </c>
      <c r="E17" s="81">
        <f>'ATT 4 - Travel Time Benefits'!G12</f>
        <v>3124797.411998059</v>
      </c>
      <c r="F17" s="13">
        <f t="shared" si="2"/>
        <v>2466743.932391556</v>
      </c>
      <c r="G17" s="15">
        <f t="shared" si="3"/>
        <v>1818660.54370414</v>
      </c>
      <c r="H17" s="67">
        <f>'ATT 5 - Operating Benefits'!G12</f>
        <v>4981572.05000855</v>
      </c>
      <c r="I17" s="13">
        <f t="shared" si="4"/>
        <v>3932498.977676953</v>
      </c>
      <c r="J17" s="15">
        <f t="shared" si="5"/>
        <v>2899320.288151699</v>
      </c>
      <c r="K17" s="81">
        <f>'ATT 6 - Safety Benefits'!G12</f>
        <v>4633556.192990255</v>
      </c>
      <c r="L17" s="13">
        <f t="shared" si="6"/>
        <v>3657772.046459032</v>
      </c>
      <c r="M17" s="15">
        <f t="shared" si="7"/>
        <v>2696771.8908340465</v>
      </c>
    </row>
    <row r="18" spans="1:13" ht="15">
      <c r="A18" s="14">
        <v>2023</v>
      </c>
      <c r="B18" s="67">
        <f>'ATT 3 - Const and Maint'!H13</f>
        <v>0</v>
      </c>
      <c r="C18" s="13">
        <f t="shared" si="0"/>
        <v>0</v>
      </c>
      <c r="D18" s="15">
        <f t="shared" si="1"/>
        <v>0</v>
      </c>
      <c r="E18" s="81">
        <f>'ATT 4 - Travel Time Benefits'!G13</f>
        <v>2742014.9404995153</v>
      </c>
      <c r="F18" s="13">
        <f t="shared" si="2"/>
        <v>2101526.130735043</v>
      </c>
      <c r="G18" s="15">
        <f t="shared" si="3"/>
        <v>1491474.4488075513</v>
      </c>
      <c r="H18" s="67">
        <f>'ATT 5 - Operating Benefits'!G13</f>
        <v>4508464.65856341</v>
      </c>
      <c r="I18" s="13">
        <f t="shared" si="4"/>
        <v>3455362.7515028943</v>
      </c>
      <c r="J18" s="15">
        <f t="shared" si="5"/>
        <v>2452306.0550407586</v>
      </c>
      <c r="K18" s="81">
        <f>'ATT 6 - Safety Benefits'!G13</f>
        <v>4193500.3910117713</v>
      </c>
      <c r="L18" s="13">
        <f t="shared" si="6"/>
        <v>3213968.8667609636</v>
      </c>
      <c r="M18" s="15">
        <f t="shared" si="7"/>
        <v>2280986.362211121</v>
      </c>
    </row>
    <row r="19" spans="1:13" ht="15">
      <c r="A19" s="14">
        <v>2024</v>
      </c>
      <c r="B19" s="67">
        <f>'ATT 3 - Const and Maint'!H14</f>
        <v>0</v>
      </c>
      <c r="C19" s="13">
        <f t="shared" si="0"/>
        <v>0</v>
      </c>
      <c r="D19" s="15">
        <f t="shared" si="1"/>
        <v>0</v>
      </c>
      <c r="E19" s="81">
        <f>'ATT 4 - Travel Time Benefits'!G14</f>
        <v>2359232.469000971</v>
      </c>
      <c r="F19" s="13">
        <f t="shared" si="2"/>
        <v>1755490.5240103994</v>
      </c>
      <c r="G19" s="15">
        <f t="shared" si="3"/>
        <v>1199314.155597886</v>
      </c>
      <c r="H19" s="67">
        <f>'ATT 5 - Operating Benefits'!G14</f>
        <v>4035357.2671182696</v>
      </c>
      <c r="I19" s="13">
        <f t="shared" si="4"/>
        <v>3002684.786896983</v>
      </c>
      <c r="J19" s="15">
        <f t="shared" si="5"/>
        <v>2051371.0102502618</v>
      </c>
      <c r="K19" s="81">
        <f>'ATT 6 - Safety Benefits'!G14</f>
        <v>3753444.58903333</v>
      </c>
      <c r="L19" s="13">
        <f t="shared" si="6"/>
        <v>2792915.27860174</v>
      </c>
      <c r="M19" s="15">
        <f t="shared" si="7"/>
        <v>1908060.89990198</v>
      </c>
    </row>
    <row r="20" spans="1:13" ht="15">
      <c r="A20" s="14">
        <v>2025</v>
      </c>
      <c r="B20" s="67">
        <f>'ATT 3 - Const and Maint'!H15</f>
        <v>0</v>
      </c>
      <c r="C20" s="13">
        <f t="shared" si="0"/>
        <v>0</v>
      </c>
      <c r="D20" s="15">
        <f t="shared" si="1"/>
        <v>0</v>
      </c>
      <c r="E20" s="81">
        <f>'ATT 4 - Travel Time Benefits'!G15</f>
        <v>1976449.9975000003</v>
      </c>
      <c r="F20" s="13">
        <f t="shared" si="2"/>
        <v>1427829.5303275709</v>
      </c>
      <c r="G20" s="15">
        <f t="shared" si="3"/>
        <v>938997.1562325138</v>
      </c>
      <c r="H20" s="67">
        <f>'ATT 5 - Operating Benefits'!G15</f>
        <v>3562249.8756752964</v>
      </c>
      <c r="I20" s="13">
        <f t="shared" si="4"/>
        <v>2573445.1027491298</v>
      </c>
      <c r="J20" s="15">
        <f t="shared" si="5"/>
        <v>1692399.2548659095</v>
      </c>
      <c r="K20" s="81">
        <f>'ATT 6 - Safety Benefits'!G15</f>
        <v>3313388.787056801</v>
      </c>
      <c r="L20" s="13">
        <f t="shared" si="6"/>
        <v>2393662.5574135985</v>
      </c>
      <c r="M20" s="15">
        <f t="shared" si="7"/>
        <v>1574167.1443620895</v>
      </c>
    </row>
    <row r="21" spans="1:13" ht="15">
      <c r="A21" s="14">
        <v>2026</v>
      </c>
      <c r="B21" s="67">
        <f>'ATT 3 - Const and Maint'!H16</f>
        <v>0</v>
      </c>
      <c r="C21" s="13">
        <f t="shared" si="0"/>
        <v>0</v>
      </c>
      <c r="D21" s="15">
        <f t="shared" si="1"/>
        <v>0</v>
      </c>
      <c r="E21" s="81">
        <f>'ATT 4 - Travel Time Benefits'!G16</f>
        <v>1593667.5259990294</v>
      </c>
      <c r="F21" s="13">
        <f t="shared" si="2"/>
        <v>1117766.3384526311</v>
      </c>
      <c r="G21" s="15">
        <f t="shared" si="3"/>
        <v>707607.4405971644</v>
      </c>
      <c r="H21" s="67">
        <f>'ATT 5 - Operating Benefits'!G16</f>
        <v>3089142.484232324</v>
      </c>
      <c r="I21" s="13">
        <f t="shared" si="4"/>
        <v>2166662.3854898913</v>
      </c>
      <c r="J21" s="15">
        <f t="shared" si="5"/>
        <v>1371616.2067977865</v>
      </c>
      <c r="K21" s="81">
        <f>'ATT 6 - Safety Benefits'!G16</f>
        <v>2873332.985080399</v>
      </c>
      <c r="L21" s="13">
        <f t="shared" si="6"/>
        <v>2015297.9448302083</v>
      </c>
      <c r="M21" s="15">
        <f t="shared" si="7"/>
        <v>1275794.2082565783</v>
      </c>
    </row>
    <row r="22" spans="1:13" ht="15">
      <c r="A22" s="14">
        <v>2027</v>
      </c>
      <c r="B22" s="67">
        <f>'ATT 3 - Const and Maint'!H17</f>
        <v>0</v>
      </c>
      <c r="C22" s="13">
        <f t="shared" si="0"/>
        <v>0</v>
      </c>
      <c r="D22" s="15">
        <f t="shared" si="1"/>
        <v>0</v>
      </c>
      <c r="E22" s="81">
        <f>'ATT 4 - Travel Time Benefits'!G17</f>
        <v>1210885.0544980587</v>
      </c>
      <c r="F22" s="13">
        <f t="shared" si="2"/>
        <v>824553.8004381653</v>
      </c>
      <c r="G22" s="15">
        <f t="shared" si="3"/>
        <v>502474.24809626874</v>
      </c>
      <c r="H22" s="67">
        <f>'ATT 5 - Operating Benefits'!G17</f>
        <v>2616035.0927893505</v>
      </c>
      <c r="I22" s="13">
        <f t="shared" si="4"/>
        <v>1781392.6019040858</v>
      </c>
      <c r="J22" s="15">
        <f t="shared" si="5"/>
        <v>1085561.557936372</v>
      </c>
      <c r="K22" s="81">
        <f>'ATT 6 - Safety Benefits'!G17</f>
        <v>2433277.183103955</v>
      </c>
      <c r="L22" s="13">
        <f t="shared" si="6"/>
        <v>1656943.3584094634</v>
      </c>
      <c r="M22" s="15">
        <f t="shared" si="7"/>
        <v>1009723.5228465087</v>
      </c>
    </row>
    <row r="23" spans="1:13" ht="15">
      <c r="A23" s="14">
        <v>2028</v>
      </c>
      <c r="B23" s="67">
        <f>'ATT 3 - Const and Maint'!H18</f>
        <v>0</v>
      </c>
      <c r="C23" s="13">
        <f t="shared" si="0"/>
        <v>0</v>
      </c>
      <c r="D23" s="15">
        <f t="shared" si="1"/>
        <v>0</v>
      </c>
      <c r="E23" s="81">
        <f>'ATT 4 - Travel Time Benefits'!G18</f>
        <v>828102.5829995148</v>
      </c>
      <c r="F23" s="13">
        <f t="shared" si="2"/>
        <v>547473.3626653702</v>
      </c>
      <c r="G23" s="15">
        <f t="shared" si="3"/>
        <v>321152.45901819214</v>
      </c>
      <c r="H23" s="67">
        <f>'ATT 5 - Operating Benefits'!G18</f>
        <v>2142927.7013442107</v>
      </c>
      <c r="I23" s="13">
        <f t="shared" si="4"/>
        <v>1416727.659940622</v>
      </c>
      <c r="J23" s="15">
        <f t="shared" si="5"/>
        <v>831064.3088349098</v>
      </c>
      <c r="K23" s="81">
        <f>'ATT 6 - Safety Benefits'!G18</f>
        <v>1993221.381125471</v>
      </c>
      <c r="L23" s="13">
        <f t="shared" si="6"/>
        <v>1317754.1460004293</v>
      </c>
      <c r="M23" s="15">
        <f t="shared" si="7"/>
        <v>773005.616764822</v>
      </c>
    </row>
    <row r="24" spans="1:13" ht="15">
      <c r="A24" s="14">
        <v>2029</v>
      </c>
      <c r="B24" s="67">
        <f>'ATT 3 - Const and Maint'!H19</f>
        <v>0</v>
      </c>
      <c r="C24" s="13">
        <f t="shared" si="0"/>
        <v>0</v>
      </c>
      <c r="D24" s="15">
        <f t="shared" si="1"/>
        <v>0</v>
      </c>
      <c r="E24" s="81">
        <f>'ATT 4 - Travel Time Benefits'!G19</f>
        <v>445320.1115009708</v>
      </c>
      <c r="F24" s="13">
        <f t="shared" si="2"/>
        <v>285834.0339829366</v>
      </c>
      <c r="G24" s="15">
        <f t="shared" si="3"/>
        <v>161404.50188021865</v>
      </c>
      <c r="H24" s="67">
        <f>'ATT 5 - Operating Benefits'!G19</f>
        <v>1669820.30989907</v>
      </c>
      <c r="I24" s="13">
        <f t="shared" si="4"/>
        <v>1071794.1159144077</v>
      </c>
      <c r="J24" s="15">
        <f t="shared" si="5"/>
        <v>605219.7248408895</v>
      </c>
      <c r="K24" s="81">
        <f>'ATT 6 - Safety Benefits'!G19</f>
        <v>1553165.5791469023</v>
      </c>
      <c r="L24" s="13">
        <f t="shared" si="6"/>
        <v>996917.8832607815</v>
      </c>
      <c r="M24" s="15">
        <f t="shared" si="7"/>
        <v>562938.6820073151</v>
      </c>
    </row>
    <row r="25" spans="1:13" ht="15">
      <c r="A25" s="14">
        <v>2030</v>
      </c>
      <c r="B25" s="67">
        <f>'ATT 3 - Const and Maint'!H20</f>
        <v>0</v>
      </c>
      <c r="C25" s="13">
        <f t="shared" si="0"/>
        <v>0</v>
      </c>
      <c r="D25" s="15">
        <f t="shared" si="1"/>
        <v>0</v>
      </c>
      <c r="E25" s="81">
        <f>'ATT 4 - Travel Time Benefits'!G20</f>
        <v>62537.64000000001</v>
      </c>
      <c r="F25" s="13">
        <f t="shared" si="2"/>
        <v>38971.3897048494</v>
      </c>
      <c r="G25" s="15">
        <f t="shared" si="3"/>
        <v>21183.662332548432</v>
      </c>
      <c r="H25" s="67">
        <f>'ATT 5 - Operating Benefits'!G20</f>
        <v>1196712.918456097</v>
      </c>
      <c r="I25" s="13">
        <f t="shared" si="4"/>
        <v>745751.9265194562</v>
      </c>
      <c r="J25" s="15">
        <f t="shared" si="5"/>
        <v>405368.0691112188</v>
      </c>
      <c r="K25" s="81">
        <f>'ATT 6 - Safety Benefits'!G20</f>
        <v>1113109.777170458</v>
      </c>
      <c r="L25" s="13">
        <f t="shared" si="6"/>
        <v>693653.212855298</v>
      </c>
      <c r="M25" s="15">
        <f t="shared" si="7"/>
        <v>377048.79267329583</v>
      </c>
    </row>
    <row r="26" spans="1:13" ht="15">
      <c r="A26" s="14">
        <v>2031</v>
      </c>
      <c r="B26" s="67">
        <f>'ATT 3 - Const and Maint'!H21</f>
        <v>0</v>
      </c>
      <c r="C26" s="13">
        <f t="shared" si="0"/>
        <v>0</v>
      </c>
      <c r="D26" s="15">
        <f t="shared" si="1"/>
        <v>0</v>
      </c>
      <c r="E26" s="81">
        <f>'ATT 4 - Travel Time Benefits'!G21</f>
        <v>-320244.83150097076</v>
      </c>
      <c r="F26" s="13">
        <f t="shared" si="2"/>
        <v>-193753.38975487495</v>
      </c>
      <c r="G26" s="15">
        <f t="shared" si="3"/>
        <v>-101381.31233170148</v>
      </c>
      <c r="H26" s="67">
        <f>'ATT 5 - Operating Benefits'!G21</f>
        <v>723605.527013124</v>
      </c>
      <c r="I26" s="13">
        <f t="shared" si="4"/>
        <v>437793.2441471129</v>
      </c>
      <c r="J26" s="15">
        <f t="shared" si="5"/>
        <v>229074.97865064093</v>
      </c>
      <c r="K26" s="81">
        <f>'ATT 6 - Safety Benefits'!G21</f>
        <v>673053.9751940139</v>
      </c>
      <c r="L26" s="13">
        <f t="shared" si="6"/>
        <v>407208.72393357713</v>
      </c>
      <c r="M26" s="15">
        <f t="shared" si="7"/>
        <v>213071.65194649127</v>
      </c>
    </row>
    <row r="27" spans="1:13" ht="15">
      <c r="A27" s="14">
        <v>2032</v>
      </c>
      <c r="B27" s="67">
        <f>'ATT 3 - Const and Maint'!H22</f>
        <v>0</v>
      </c>
      <c r="C27" s="13">
        <f t="shared" si="0"/>
        <v>0</v>
      </c>
      <c r="D27" s="15">
        <f t="shared" si="1"/>
        <v>0</v>
      </c>
      <c r="E27" s="81">
        <f>'ATT 4 - Travel Time Benefits'!G22</f>
        <v>-703027.3030019415</v>
      </c>
      <c r="F27" s="13">
        <f t="shared" si="2"/>
        <v>-412954.446790359</v>
      </c>
      <c r="G27" s="15">
        <f t="shared" si="3"/>
        <v>-208000.41114716535</v>
      </c>
      <c r="H27" s="67">
        <f>'ATT 5 - Operating Benefits'!G22</f>
        <v>250498.13557015092</v>
      </c>
      <c r="I27" s="13">
        <f t="shared" si="4"/>
        <v>147141.2540518392</v>
      </c>
      <c r="J27" s="15">
        <f t="shared" si="5"/>
        <v>74113.35942104351</v>
      </c>
      <c r="K27" s="81">
        <f>'ATT 6 - Safety Benefits'!G22</f>
        <v>232998.1732175697</v>
      </c>
      <c r="L27" s="13">
        <f t="shared" si="6"/>
        <v>136861.87053244503</v>
      </c>
      <c r="M27" s="15">
        <f t="shared" si="7"/>
        <v>68935.7520239283</v>
      </c>
    </row>
    <row r="28" spans="1:13" ht="15">
      <c r="A28" s="14">
        <v>2033</v>
      </c>
      <c r="B28" s="67">
        <f>'ATT 3 - Const and Maint'!H23</f>
        <v>0</v>
      </c>
      <c r="C28" s="13">
        <f t="shared" si="0"/>
        <v>0</v>
      </c>
      <c r="D28" s="15">
        <f t="shared" si="1"/>
        <v>0</v>
      </c>
      <c r="E28" s="81">
        <f>'ATT 4 - Travel Time Benefits'!G23</f>
        <v>-1085809.7745004855</v>
      </c>
      <c r="F28" s="13">
        <f t="shared" si="2"/>
        <v>-619222.1421734341</v>
      </c>
      <c r="G28" s="15">
        <f t="shared" si="3"/>
        <v>-300235.45071400475</v>
      </c>
      <c r="H28" s="67">
        <f>'ATT 5 - Operating Benefits'!G23</f>
        <v>-222609.2558749894</v>
      </c>
      <c r="I28" s="13">
        <f t="shared" si="4"/>
        <v>-126950.94806450688</v>
      </c>
      <c r="J28" s="15">
        <f t="shared" si="5"/>
        <v>-61553.31425477675</v>
      </c>
      <c r="K28" s="81">
        <f>'ATT 6 - Safety Benefits'!G23</f>
        <v>-207057.62876091409</v>
      </c>
      <c r="L28" s="13">
        <f t="shared" si="6"/>
        <v>-118082.07242716027</v>
      </c>
      <c r="M28" s="15">
        <f t="shared" si="7"/>
        <v>-57253.15976585761</v>
      </c>
    </row>
    <row r="29" spans="1:13" ht="15">
      <c r="A29" s="14">
        <v>2034</v>
      </c>
      <c r="B29" s="67">
        <f>'ATT 3 - Const and Maint'!H24</f>
        <v>0</v>
      </c>
      <c r="C29" s="13">
        <f t="shared" si="0"/>
        <v>0</v>
      </c>
      <c r="D29" s="15">
        <f t="shared" si="1"/>
        <v>0</v>
      </c>
      <c r="E29" s="81">
        <f>'ATT 4 - Travel Time Benefits'!G24</f>
        <v>-1468592.2459990294</v>
      </c>
      <c r="F29" s="13">
        <f t="shared" si="2"/>
        <v>-813123.9193957162</v>
      </c>
      <c r="G29" s="15">
        <f t="shared" si="3"/>
        <v>-379512.14375124895</v>
      </c>
      <c r="H29" s="67">
        <f>'ATT 5 - Operating Benefits'!G24</f>
        <v>-695716.6473201297</v>
      </c>
      <c r="I29" s="13">
        <f t="shared" si="4"/>
        <v>-385201.4394049612</v>
      </c>
      <c r="J29" s="15">
        <f t="shared" si="5"/>
        <v>-179786.40224147588</v>
      </c>
      <c r="K29" s="81">
        <f>'ATT 6 - Safety Benefits'!G24</f>
        <v>-647113.4307393979</v>
      </c>
      <c r="L29" s="13">
        <f t="shared" si="6"/>
        <v>-358291.0168087428</v>
      </c>
      <c r="M29" s="15">
        <f t="shared" si="7"/>
        <v>-167226.4074791367</v>
      </c>
    </row>
    <row r="30" spans="1:13" ht="15">
      <c r="A30" s="14">
        <v>2035</v>
      </c>
      <c r="B30" s="67">
        <f>'ATT 3 - Const and Maint'!H25</f>
        <v>0</v>
      </c>
      <c r="C30" s="13">
        <f t="shared" si="0"/>
        <v>0</v>
      </c>
      <c r="D30" s="15">
        <f t="shared" si="1"/>
        <v>0</v>
      </c>
      <c r="E30" s="81">
        <f>'ATT 4 - Travel Time Benefits'!G25</f>
        <v>-1851374.7175000003</v>
      </c>
      <c r="F30" s="13">
        <f t="shared" si="2"/>
        <v>-995205.1388284714</v>
      </c>
      <c r="G30" s="15">
        <f t="shared" si="3"/>
        <v>-447131.22273939993</v>
      </c>
      <c r="H30" s="67">
        <f>'ATT 5 - Operating Benefits'!G25</f>
        <v>-1168824.0387631028</v>
      </c>
      <c r="I30" s="13">
        <f t="shared" si="4"/>
        <v>-628300.5157022127</v>
      </c>
      <c r="J30" s="15">
        <f t="shared" si="5"/>
        <v>-282286.3014598501</v>
      </c>
      <c r="K30" s="81">
        <f>'ATT 6 - Safety Benefits'!G25</f>
        <v>-1087169.232715842</v>
      </c>
      <c r="L30" s="13">
        <f t="shared" si="6"/>
        <v>-584407.0338370127</v>
      </c>
      <c r="M30" s="15">
        <f t="shared" si="7"/>
        <v>-262565.5972040623</v>
      </c>
    </row>
    <row r="31" spans="1:13" ht="15">
      <c r="A31" s="14">
        <v>2036</v>
      </c>
      <c r="B31" s="67">
        <f>'ATT 3 - Const and Maint'!H26</f>
        <v>0</v>
      </c>
      <c r="C31" s="13">
        <f t="shared" si="0"/>
        <v>0</v>
      </c>
      <c r="D31" s="15">
        <f t="shared" si="1"/>
        <v>0</v>
      </c>
      <c r="E31" s="81">
        <f>'ATT 4 - Travel Time Benefits'!G26</f>
        <v>-2234157.189000971</v>
      </c>
      <c r="F31" s="13">
        <f t="shared" si="2"/>
        <v>-1165989.882732524</v>
      </c>
      <c r="G31" s="15">
        <f t="shared" si="3"/>
        <v>-504278.6906376687</v>
      </c>
      <c r="H31" s="67">
        <f>'ATT 5 - Operating Benefits'!G26</f>
        <v>-1641931.4302060758</v>
      </c>
      <c r="I31" s="13">
        <f t="shared" si="4"/>
        <v>-856911.7003879693</v>
      </c>
      <c r="J31" s="15">
        <f t="shared" si="5"/>
        <v>-370605.5401193146</v>
      </c>
      <c r="K31" s="81">
        <f>'ATT 6 - Safety Benefits'!G26</f>
        <v>-1527225.0346923713</v>
      </c>
      <c r="L31" s="13">
        <f t="shared" si="6"/>
        <v>-797047.2927660951</v>
      </c>
      <c r="M31" s="15">
        <f t="shared" si="7"/>
        <v>-344714.79652159894</v>
      </c>
    </row>
    <row r="32" spans="1:13" ht="15">
      <c r="A32" s="14">
        <v>2037</v>
      </c>
      <c r="B32" s="67">
        <f>'ATT 3 - Const and Maint'!H27</f>
        <v>0</v>
      </c>
      <c r="C32" s="13">
        <f t="shared" si="0"/>
        <v>0</v>
      </c>
      <c r="D32" s="15">
        <f t="shared" si="1"/>
        <v>0</v>
      </c>
      <c r="E32" s="81">
        <f>'ATT 4 - Travel Time Benefits'!G27</f>
        <v>-2616939.660501942</v>
      </c>
      <c r="F32" s="13">
        <f t="shared" si="2"/>
        <v>-1325981.7321147406</v>
      </c>
      <c r="G32" s="15">
        <f t="shared" si="3"/>
        <v>-552035.2652853621</v>
      </c>
      <c r="H32" s="67">
        <f>'ATT 5 - Operating Benefits'!G27</f>
        <v>-2115038.8216490485</v>
      </c>
      <c r="I32" s="13">
        <f t="shared" si="4"/>
        <v>-1071672.7185380375</v>
      </c>
      <c r="J32" s="15">
        <f t="shared" si="5"/>
        <v>-446160.8475809967</v>
      </c>
      <c r="K32" s="81">
        <f>'ATT 6 - Safety Benefits'!G27</f>
        <v>-1967280.8366688155</v>
      </c>
      <c r="L32" s="13">
        <f t="shared" si="6"/>
        <v>-996804.9667839546</v>
      </c>
      <c r="M32" s="15">
        <f t="shared" si="7"/>
        <v>-414991.7611600479</v>
      </c>
    </row>
    <row r="33" spans="1:13" ht="15.75" thickBot="1">
      <c r="A33" s="17">
        <v>2038</v>
      </c>
      <c r="B33" s="68">
        <f>'ATT 3 - Const and Maint'!H28</f>
        <v>0</v>
      </c>
      <c r="C33" s="78">
        <f t="shared" si="0"/>
        <v>0</v>
      </c>
      <c r="D33" s="79">
        <f t="shared" si="1"/>
        <v>0</v>
      </c>
      <c r="E33" s="82">
        <f>'ATT 4 - Travel Time Benefits'!G28</f>
        <v>-2999722.1320004854</v>
      </c>
      <c r="F33" s="78">
        <f t="shared" si="2"/>
        <v>-1475664.516375318</v>
      </c>
      <c r="G33" s="79">
        <f t="shared" si="3"/>
        <v>-591385.0791094928</v>
      </c>
      <c r="H33" s="68">
        <f>'ATT 5 - Operating Benefits'!G28</f>
        <v>-2588146.2130941893</v>
      </c>
      <c r="I33" s="78">
        <f t="shared" si="4"/>
        <v>-1273196.4368003767</v>
      </c>
      <c r="J33" s="79">
        <f t="shared" si="5"/>
        <v>-510244.27784479666</v>
      </c>
      <c r="K33" s="82">
        <f>'ATT 6 - Safety Benefits'!G28</f>
        <v>-2407336.6386472993</v>
      </c>
      <c r="L33" s="78">
        <f t="shared" si="6"/>
        <v>-1184250.1072767614</v>
      </c>
      <c r="M33" s="79">
        <f t="shared" si="7"/>
        <v>-474598.281388212</v>
      </c>
    </row>
    <row r="34" spans="1:13" ht="15.75" thickBot="1">
      <c r="A34" s="84" t="s">
        <v>6</v>
      </c>
      <c r="B34" s="183">
        <f>SUM(B9:B33)</f>
        <v>17500000</v>
      </c>
      <c r="C34" s="85">
        <f>SUM(C9:C33)</f>
        <v>16134985.162843818</v>
      </c>
      <c r="D34" s="86">
        <f aca="true" t="shared" si="8" ref="D34:M34">SUM(D9:D33)</f>
        <v>14547482.144075189</v>
      </c>
      <c r="E34" s="87">
        <f t="shared" si="8"/>
        <v>12734226.944990294</v>
      </c>
      <c r="F34" s="85">
        <f t="shared" si="8"/>
        <v>13360446.792567581</v>
      </c>
      <c r="G34" s="89">
        <f t="shared" si="8"/>
        <v>11901659.414949117</v>
      </c>
      <c r="H34" s="90">
        <f t="shared" si="8"/>
        <v>38127480.1124458</v>
      </c>
      <c r="I34" s="85">
        <f t="shared" si="8"/>
        <v>31310070.33419182</v>
      </c>
      <c r="J34" s="86">
        <f t="shared" si="8"/>
        <v>23757362.123458017</v>
      </c>
      <c r="K34" s="87">
        <f t="shared" si="8"/>
        <v>35463869.6027358</v>
      </c>
      <c r="L34" s="85">
        <f t="shared" si="8"/>
        <v>29122728.49686199</v>
      </c>
      <c r="M34" s="86">
        <f t="shared" si="8"/>
        <v>22097657.384293415</v>
      </c>
    </row>
    <row r="35" spans="1:13" ht="15">
      <c r="A35" s="70"/>
      <c r="B35" s="72"/>
      <c r="C35" s="72"/>
      <c r="D35" s="71"/>
      <c r="E35" s="72"/>
      <c r="F35" s="72"/>
      <c r="G35" s="72"/>
      <c r="H35" s="72"/>
      <c r="I35" s="72"/>
      <c r="J35" s="71"/>
      <c r="K35" s="72"/>
      <c r="L35" s="73"/>
      <c r="M35" s="74"/>
    </row>
    <row r="36" spans="1:13" ht="15">
      <c r="A36" s="14"/>
      <c r="B36" s="12"/>
      <c r="C36" s="12"/>
      <c r="D36" s="11"/>
      <c r="E36" s="12"/>
      <c r="F36" s="12"/>
      <c r="G36" s="12"/>
      <c r="H36" s="185" t="s">
        <v>111</v>
      </c>
      <c r="I36" s="185" t="s">
        <v>112</v>
      </c>
      <c r="J36" s="186" t="s">
        <v>113</v>
      </c>
      <c r="K36" s="12"/>
      <c r="L36" s="65"/>
      <c r="M36" s="16"/>
    </row>
    <row r="37" spans="1:13" ht="15">
      <c r="A37" s="14"/>
      <c r="B37" s="12"/>
      <c r="C37" s="12"/>
      <c r="D37" s="180"/>
      <c r="E37" s="180"/>
      <c r="F37" s="180"/>
      <c r="G37" s="185" t="s">
        <v>102</v>
      </c>
      <c r="H37" s="12">
        <f>B34</f>
        <v>17500000</v>
      </c>
      <c r="I37" s="12">
        <f>C34</f>
        <v>16134985.162843818</v>
      </c>
      <c r="J37" s="12">
        <f>D34</f>
        <v>14547482.144075189</v>
      </c>
      <c r="K37" s="12"/>
      <c r="L37" s="65"/>
      <c r="M37" s="16"/>
    </row>
    <row r="38" spans="1:13" ht="15">
      <c r="A38" s="14"/>
      <c r="B38" s="12"/>
      <c r="C38" s="12"/>
      <c r="D38" s="180"/>
      <c r="E38" s="180"/>
      <c r="F38" s="180"/>
      <c r="G38" s="185" t="s">
        <v>114</v>
      </c>
      <c r="H38" s="12">
        <f>E34+H34+K34</f>
        <v>86325576.6601719</v>
      </c>
      <c r="I38" s="12">
        <f>F34+I34+L34</f>
        <v>73793245.62362139</v>
      </c>
      <c r="J38" s="12">
        <f>G34+J34+M34</f>
        <v>57756678.92270055</v>
      </c>
      <c r="K38" s="12"/>
      <c r="L38" s="65"/>
      <c r="M38" s="16"/>
    </row>
    <row r="39" spans="1:13" ht="15.75" thickBot="1">
      <c r="A39" s="17"/>
      <c r="B39" s="18"/>
      <c r="C39" s="18"/>
      <c r="D39" s="181"/>
      <c r="E39" s="182"/>
      <c r="F39" s="182"/>
      <c r="G39" s="187" t="s">
        <v>115</v>
      </c>
      <c r="H39" s="184">
        <f>H38/H37</f>
        <v>4.932890094866965</v>
      </c>
      <c r="I39" s="200">
        <f>I38/I37</f>
        <v>4.573493243337771</v>
      </c>
      <c r="J39" s="184">
        <f>J38/J37</f>
        <v>3.9702182378153554</v>
      </c>
      <c r="K39" s="18"/>
      <c r="L39" s="66"/>
      <c r="M39" s="19"/>
    </row>
  </sheetData>
  <sheetProtection/>
  <mergeCells count="5">
    <mergeCell ref="K7:M7"/>
    <mergeCell ref="B7:D7"/>
    <mergeCell ref="E7:G7"/>
    <mergeCell ref="H7:J7"/>
    <mergeCell ref="C3:K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4.28125" style="0" customWidth="1"/>
    <col min="2" max="3" width="10.7109375" style="0" customWidth="1"/>
    <col min="4" max="4" width="15.28125" style="0" bestFit="1" customWidth="1"/>
    <col min="5" max="6" width="10.140625" style="0" bestFit="1" customWidth="1"/>
  </cols>
  <sheetData>
    <row r="1" spans="1:6" ht="18.75" thickBot="1">
      <c r="A1" s="212" t="s">
        <v>49</v>
      </c>
      <c r="B1" s="213"/>
      <c r="C1" s="213"/>
      <c r="D1" s="213"/>
      <c r="E1" s="213"/>
      <c r="F1" s="214"/>
    </row>
    <row r="2" spans="1:6" ht="15.75" thickBot="1">
      <c r="A2" s="215" t="s">
        <v>50</v>
      </c>
      <c r="B2" s="216"/>
      <c r="C2" s="216"/>
      <c r="D2" s="216"/>
      <c r="E2" s="216"/>
      <c r="F2" s="217"/>
    </row>
    <row r="3" spans="1:6" ht="15">
      <c r="A3" s="219" t="s">
        <v>51</v>
      </c>
      <c r="B3" s="220"/>
      <c r="C3" s="221"/>
      <c r="D3" s="219" t="s">
        <v>13</v>
      </c>
      <c r="E3" s="220"/>
      <c r="F3" s="221"/>
    </row>
    <row r="4" spans="1:6" ht="15">
      <c r="A4" s="120" t="s">
        <v>74</v>
      </c>
      <c r="B4" s="134">
        <v>12.98</v>
      </c>
      <c r="C4" s="128" t="s">
        <v>52</v>
      </c>
      <c r="D4" s="120" t="s">
        <v>74</v>
      </c>
      <c r="E4" s="134">
        <v>25.75</v>
      </c>
      <c r="F4" s="121" t="s">
        <v>52</v>
      </c>
    </row>
    <row r="5" spans="1:6" ht="15">
      <c r="A5" s="120" t="s">
        <v>53</v>
      </c>
      <c r="B5" s="110">
        <v>1.1</v>
      </c>
      <c r="C5" s="122"/>
      <c r="D5" s="120" t="s">
        <v>53</v>
      </c>
      <c r="E5" s="110">
        <v>1.05</v>
      </c>
      <c r="F5" s="122"/>
    </row>
    <row r="6" spans="1:6" ht="15">
      <c r="A6" s="123"/>
      <c r="B6" s="112"/>
      <c r="C6" s="122"/>
      <c r="D6" s="120" t="s">
        <v>87</v>
      </c>
      <c r="E6" s="131">
        <f>0.03/8760*300000</f>
        <v>1.0273972602739725</v>
      </c>
      <c r="F6" s="122"/>
    </row>
    <row r="7" spans="1:6" ht="15.75" thickBot="1">
      <c r="A7" s="125" t="s">
        <v>71</v>
      </c>
      <c r="B7" s="129">
        <f>B4*B5</f>
        <v>14.278000000000002</v>
      </c>
      <c r="C7" s="130" t="s">
        <v>84</v>
      </c>
      <c r="D7" s="125" t="s">
        <v>71</v>
      </c>
      <c r="E7" s="132">
        <f>E4*E5+E6</f>
        <v>28.064897260273973</v>
      </c>
      <c r="F7" s="130" t="s">
        <v>84</v>
      </c>
    </row>
    <row r="8" spans="1:6" ht="15.75" thickBot="1">
      <c r="A8" s="215" t="s">
        <v>34</v>
      </c>
      <c r="B8" s="216"/>
      <c r="C8" s="216"/>
      <c r="D8" s="216"/>
      <c r="E8" s="216"/>
      <c r="F8" s="217"/>
    </row>
    <row r="9" spans="1:6" ht="15">
      <c r="A9" s="219" t="s">
        <v>51</v>
      </c>
      <c r="B9" s="220"/>
      <c r="C9" s="221"/>
      <c r="D9" s="219" t="s">
        <v>13</v>
      </c>
      <c r="E9" s="220"/>
      <c r="F9" s="221"/>
    </row>
    <row r="10" spans="1:6" ht="15">
      <c r="A10" s="124" t="s">
        <v>54</v>
      </c>
      <c r="B10" s="110">
        <v>25</v>
      </c>
      <c r="C10" s="121" t="s">
        <v>55</v>
      </c>
      <c r="D10" s="124" t="s">
        <v>54</v>
      </c>
      <c r="E10" s="110">
        <v>6</v>
      </c>
      <c r="F10" s="121" t="s">
        <v>55</v>
      </c>
    </row>
    <row r="11" spans="1:6" ht="15">
      <c r="A11" s="120" t="s">
        <v>64</v>
      </c>
      <c r="B11" s="111">
        <v>3</v>
      </c>
      <c r="C11" s="121" t="s">
        <v>56</v>
      </c>
      <c r="D11" s="120" t="s">
        <v>64</v>
      </c>
      <c r="E11" s="111">
        <v>3</v>
      </c>
      <c r="F11" s="121" t="s">
        <v>56</v>
      </c>
    </row>
    <row r="12" spans="1:6" ht="15">
      <c r="A12" s="120" t="s">
        <v>88</v>
      </c>
      <c r="B12" s="135">
        <v>0.061</v>
      </c>
      <c r="C12" s="121" t="s">
        <v>57</v>
      </c>
      <c r="D12" s="120" t="s">
        <v>67</v>
      </c>
      <c r="E12" s="135">
        <v>0.15</v>
      </c>
      <c r="F12" s="121" t="s">
        <v>57</v>
      </c>
    </row>
    <row r="13" spans="1:6" ht="15">
      <c r="A13" s="120" t="s">
        <v>58</v>
      </c>
      <c r="B13" s="110">
        <v>10</v>
      </c>
      <c r="C13" s="121" t="s">
        <v>60</v>
      </c>
      <c r="D13" s="120" t="s">
        <v>58</v>
      </c>
      <c r="E13" s="136">
        <v>5</v>
      </c>
      <c r="F13" s="121" t="s">
        <v>60</v>
      </c>
    </row>
    <row r="14" spans="1:6" ht="15">
      <c r="A14" s="120" t="s">
        <v>19</v>
      </c>
      <c r="B14" s="114">
        <v>20000</v>
      </c>
      <c r="C14" s="122"/>
      <c r="D14" s="120" t="s">
        <v>92</v>
      </c>
      <c r="E14" s="133">
        <v>150000</v>
      </c>
      <c r="F14" s="122"/>
    </row>
    <row r="15" spans="1:6" ht="15">
      <c r="A15" s="120" t="s">
        <v>59</v>
      </c>
      <c r="B15" s="114">
        <v>2000</v>
      </c>
      <c r="C15" s="122"/>
      <c r="D15" s="120" t="s">
        <v>59</v>
      </c>
      <c r="E15" s="133">
        <v>15000</v>
      </c>
      <c r="F15" s="122"/>
    </row>
    <row r="16" spans="1:6" ht="15">
      <c r="A16" s="120" t="s">
        <v>18</v>
      </c>
      <c r="B16" s="115">
        <v>15000</v>
      </c>
      <c r="C16" s="121" t="s">
        <v>62</v>
      </c>
      <c r="D16" s="120" t="s">
        <v>93</v>
      </c>
      <c r="E16" s="137">
        <v>125000</v>
      </c>
      <c r="F16" s="121" t="s">
        <v>62</v>
      </c>
    </row>
    <row r="17" spans="1:6" ht="15">
      <c r="A17" s="120" t="s">
        <v>70</v>
      </c>
      <c r="B17" s="116">
        <v>0.03</v>
      </c>
      <c r="C17" s="122"/>
      <c r="D17" s="120" t="s">
        <v>70</v>
      </c>
      <c r="E17" s="138">
        <v>0.03</v>
      </c>
      <c r="F17" s="122"/>
    </row>
    <row r="18" spans="1:6" ht="15">
      <c r="A18" s="120" t="s">
        <v>89</v>
      </c>
      <c r="B18" s="117">
        <f>B14*(B17*((1+B17)^B13-B15/B14))/((1+B17)^B13-1)</f>
        <v>2170.149118892873</v>
      </c>
      <c r="C18" s="121" t="s">
        <v>63</v>
      </c>
      <c r="D18" s="120" t="s">
        <v>94</v>
      </c>
      <c r="E18" s="139">
        <f>E14*(E17*((1+E17)^E13-E15/E14))/((1+E17)^E13-1)</f>
        <v>29927.86713907779</v>
      </c>
      <c r="F18" s="121" t="s">
        <v>63</v>
      </c>
    </row>
    <row r="19" spans="1:6" ht="15">
      <c r="A19" s="120" t="s">
        <v>90</v>
      </c>
      <c r="B19" s="133">
        <v>1092</v>
      </c>
      <c r="C19" s="121" t="s">
        <v>63</v>
      </c>
      <c r="D19" s="120" t="s">
        <v>95</v>
      </c>
      <c r="E19" s="133">
        <v>6500</v>
      </c>
      <c r="F19" s="121" t="s">
        <v>63</v>
      </c>
    </row>
    <row r="20" spans="1:6" ht="15">
      <c r="A20" s="120" t="s">
        <v>65</v>
      </c>
      <c r="B20" s="118">
        <f>B11/B10</f>
        <v>0.12</v>
      </c>
      <c r="C20" s="121" t="s">
        <v>66</v>
      </c>
      <c r="D20" s="120" t="s">
        <v>65</v>
      </c>
      <c r="E20" s="118">
        <f>E11/E10</f>
        <v>0.5</v>
      </c>
      <c r="F20" s="121" t="s">
        <v>66</v>
      </c>
    </row>
    <row r="21" spans="1:6" ht="15">
      <c r="A21" s="120" t="s">
        <v>68</v>
      </c>
      <c r="B21" s="119">
        <f>B12</f>
        <v>0.061</v>
      </c>
      <c r="C21" s="121" t="s">
        <v>66</v>
      </c>
      <c r="D21" s="120" t="s">
        <v>68</v>
      </c>
      <c r="E21" s="119">
        <f>E12</f>
        <v>0.15</v>
      </c>
      <c r="F21" s="121" t="s">
        <v>66</v>
      </c>
    </row>
    <row r="22" spans="1:6" ht="15">
      <c r="A22" s="120" t="s">
        <v>69</v>
      </c>
      <c r="B22" s="119">
        <f>B18/B16</f>
        <v>0.14467660792619152</v>
      </c>
      <c r="C22" s="121" t="s">
        <v>66</v>
      </c>
      <c r="D22" s="120" t="s">
        <v>69</v>
      </c>
      <c r="E22" s="119">
        <f>E18/E16</f>
        <v>0.2394229371126223</v>
      </c>
      <c r="F22" s="121" t="s">
        <v>66</v>
      </c>
    </row>
    <row r="23" spans="1:6" ht="15">
      <c r="A23" s="120" t="s">
        <v>61</v>
      </c>
      <c r="B23" s="118">
        <f>B19/B16</f>
        <v>0.0728</v>
      </c>
      <c r="C23" s="121" t="s">
        <v>66</v>
      </c>
      <c r="D23" s="120" t="s">
        <v>61</v>
      </c>
      <c r="E23" s="118">
        <f>E19/E16</f>
        <v>0.052</v>
      </c>
      <c r="F23" s="121" t="s">
        <v>66</v>
      </c>
    </row>
    <row r="24" spans="1:6" ht="15.75" thickBot="1">
      <c r="A24" s="125" t="s">
        <v>71</v>
      </c>
      <c r="B24" s="126">
        <f>SUM(B20:B23)</f>
        <v>0.39847660792619155</v>
      </c>
      <c r="C24" s="127" t="s">
        <v>66</v>
      </c>
      <c r="D24" s="125" t="s">
        <v>71</v>
      </c>
      <c r="E24" s="126">
        <f>SUM(E20:E23)</f>
        <v>0.9414229371126224</v>
      </c>
      <c r="F24" s="127" t="s">
        <v>66</v>
      </c>
    </row>
    <row r="25" spans="1:6" ht="15.75" thickBot="1">
      <c r="A25" s="225" t="s">
        <v>36</v>
      </c>
      <c r="B25" s="226"/>
      <c r="C25" s="226"/>
      <c r="D25" s="226"/>
      <c r="E25" s="226"/>
      <c r="F25" s="227"/>
    </row>
    <row r="26" spans="1:6" ht="15.75" thickBot="1">
      <c r="A26" s="231" t="s">
        <v>72</v>
      </c>
      <c r="B26" s="232"/>
      <c r="C26" s="232"/>
      <c r="D26" s="233"/>
      <c r="E26" s="229" t="s">
        <v>99</v>
      </c>
      <c r="F26" s="230"/>
    </row>
    <row r="27" spans="1:6" ht="15">
      <c r="A27" s="146"/>
      <c r="B27" s="228" t="s">
        <v>100</v>
      </c>
      <c r="C27" s="228"/>
      <c r="D27" s="223" t="s">
        <v>98</v>
      </c>
      <c r="E27" s="154" t="s">
        <v>75</v>
      </c>
      <c r="F27" s="155">
        <v>0</v>
      </c>
    </row>
    <row r="28" spans="1:6" ht="15">
      <c r="A28" s="141"/>
      <c r="B28" s="113" t="s">
        <v>11</v>
      </c>
      <c r="C28" s="113" t="s">
        <v>10</v>
      </c>
      <c r="D28" s="224"/>
      <c r="E28" s="150" t="s">
        <v>76</v>
      </c>
      <c r="F28" s="151">
        <v>27600</v>
      </c>
    </row>
    <row r="29" spans="1:6" ht="15">
      <c r="A29" s="141" t="s">
        <v>82</v>
      </c>
      <c r="B29" s="110">
        <v>0.00965</v>
      </c>
      <c r="C29" s="110">
        <v>0.00965</v>
      </c>
      <c r="D29" s="140">
        <f>F33</f>
        <v>9200000</v>
      </c>
      <c r="E29" s="150" t="s">
        <v>77</v>
      </c>
      <c r="F29" s="151">
        <v>432400</v>
      </c>
    </row>
    <row r="30" spans="1:6" ht="15">
      <c r="A30" s="141" t="s">
        <v>83</v>
      </c>
      <c r="B30" s="110">
        <v>2.224</v>
      </c>
      <c r="C30" s="110">
        <v>2.224</v>
      </c>
      <c r="D30" s="140">
        <f>0.43676*F27+0.41739*F28+0.08872*F29+0.04817*F30+0.00617*F31+0.00279*F32</f>
        <v>126735.06</v>
      </c>
      <c r="E30" s="150" t="s">
        <v>78</v>
      </c>
      <c r="F30" s="151">
        <v>966000</v>
      </c>
    </row>
    <row r="31" spans="1:6" ht="15">
      <c r="A31" s="49"/>
      <c r="B31" s="222" t="s">
        <v>96</v>
      </c>
      <c r="C31" s="222"/>
      <c r="D31" s="148"/>
      <c r="E31" s="150" t="s">
        <v>79</v>
      </c>
      <c r="F31" s="151">
        <v>2447200</v>
      </c>
    </row>
    <row r="32" spans="1:6" ht="15">
      <c r="A32" s="141" t="s">
        <v>82</v>
      </c>
      <c r="B32" s="119">
        <f>B29*D29/1000000</f>
        <v>0.08878</v>
      </c>
      <c r="C32" s="119">
        <f>C29*D29/1000000</f>
        <v>0.08878</v>
      </c>
      <c r="D32" s="122"/>
      <c r="E32" s="150" t="s">
        <v>80</v>
      </c>
      <c r="F32" s="151">
        <v>5455600</v>
      </c>
    </row>
    <row r="33" spans="1:6" ht="15">
      <c r="A33" s="141" t="s">
        <v>83</v>
      </c>
      <c r="B33" s="119">
        <f>B30*D30/1000000</f>
        <v>0.28185877344000004</v>
      </c>
      <c r="C33" s="119">
        <f>C30*D30/1000000</f>
        <v>0.28185877344000004</v>
      </c>
      <c r="D33" s="122"/>
      <c r="E33" s="150" t="s">
        <v>81</v>
      </c>
      <c r="F33" s="151">
        <f>9200000*1</f>
        <v>9200000</v>
      </c>
    </row>
    <row r="34" spans="1:6" ht="15.75" thickBot="1">
      <c r="A34" s="147" t="s">
        <v>71</v>
      </c>
      <c r="B34" s="145">
        <f>B32+B33</f>
        <v>0.37063877344000007</v>
      </c>
      <c r="C34" s="145">
        <f>C32+C33</f>
        <v>0.37063877344000007</v>
      </c>
      <c r="D34" s="149"/>
      <c r="E34" s="152"/>
      <c r="F34" s="153"/>
    </row>
    <row r="35" spans="1:6" ht="15">
      <c r="A35" s="218" t="s">
        <v>73</v>
      </c>
      <c r="B35" s="218"/>
      <c r="C35" s="218"/>
      <c r="D35" s="218"/>
      <c r="E35" s="218"/>
      <c r="F35" s="218"/>
    </row>
    <row r="36" spans="1:6" ht="15">
      <c r="A36" s="210" t="s">
        <v>121</v>
      </c>
      <c r="B36" s="210"/>
      <c r="C36" s="210"/>
      <c r="D36" s="210"/>
      <c r="E36" s="210"/>
      <c r="F36" s="210"/>
    </row>
    <row r="37" spans="1:6" ht="15">
      <c r="A37" s="210" t="s">
        <v>120</v>
      </c>
      <c r="B37" s="210"/>
      <c r="C37" s="210"/>
      <c r="D37" s="210"/>
      <c r="E37" s="210"/>
      <c r="F37" s="210"/>
    </row>
    <row r="38" spans="1:6" ht="15">
      <c r="A38" s="210" t="s">
        <v>119</v>
      </c>
      <c r="B38" s="210"/>
      <c r="C38" s="210"/>
      <c r="D38" s="210"/>
      <c r="E38" s="210"/>
      <c r="F38" s="210"/>
    </row>
    <row r="39" spans="1:6" ht="15">
      <c r="A39" s="210" t="s">
        <v>122</v>
      </c>
      <c r="B39" s="210"/>
      <c r="C39" s="210"/>
      <c r="D39" s="210"/>
      <c r="E39" s="210"/>
      <c r="F39" s="210"/>
    </row>
    <row r="40" spans="1:6" ht="15">
      <c r="A40" s="210" t="s">
        <v>91</v>
      </c>
      <c r="B40" s="210"/>
      <c r="C40" s="210"/>
      <c r="D40" s="210"/>
      <c r="E40" s="210"/>
      <c r="F40" s="210"/>
    </row>
    <row r="41" spans="1:6" ht="15">
      <c r="A41" s="211" t="s">
        <v>97</v>
      </c>
      <c r="B41" s="211"/>
      <c r="C41" s="211"/>
      <c r="D41" s="211"/>
      <c r="E41" s="211"/>
      <c r="F41" s="211"/>
    </row>
    <row r="42" spans="1:6" ht="15">
      <c r="A42" s="109"/>
      <c r="B42" s="109"/>
      <c r="C42" s="109"/>
      <c r="D42" s="109"/>
      <c r="E42" s="109"/>
      <c r="F42" s="109"/>
    </row>
  </sheetData>
  <sheetProtection/>
  <mergeCells count="20">
    <mergeCell ref="A25:F25"/>
    <mergeCell ref="B27:C27"/>
    <mergeCell ref="E26:F26"/>
    <mergeCell ref="A26:D26"/>
    <mergeCell ref="A38:F38"/>
    <mergeCell ref="A39:F39"/>
    <mergeCell ref="A40:F40"/>
    <mergeCell ref="A41:F41"/>
    <mergeCell ref="A1:F1"/>
    <mergeCell ref="A2:F2"/>
    <mergeCell ref="A35:F35"/>
    <mergeCell ref="A36:F36"/>
    <mergeCell ref="A37:F37"/>
    <mergeCell ref="A3:C3"/>
    <mergeCell ref="D3:F3"/>
    <mergeCell ref="A8:F8"/>
    <mergeCell ref="A9:C9"/>
    <mergeCell ref="D9:F9"/>
    <mergeCell ref="B31:C31"/>
    <mergeCell ref="D27:D2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4">
      <selection activeCell="B42" sqref="B42"/>
    </sheetView>
  </sheetViews>
  <sheetFormatPr defaultColWidth="9.140625" defaultRowHeight="15"/>
  <cols>
    <col min="4" max="4" width="10.421875" style="0" bestFit="1" customWidth="1"/>
    <col min="7" max="7" width="10.421875" style="0" bestFit="1" customWidth="1"/>
  </cols>
  <sheetData>
    <row r="1" spans="1:7" ht="18.75" thickBot="1">
      <c r="A1" s="212" t="s">
        <v>45</v>
      </c>
      <c r="B1" s="213"/>
      <c r="C1" s="213"/>
      <c r="D1" s="213"/>
      <c r="E1" s="213"/>
      <c r="F1" s="213"/>
      <c r="G1" s="214"/>
    </row>
    <row r="2" spans="1:7" ht="15.75" thickBot="1">
      <c r="A2" s="237"/>
      <c r="B2" s="235" t="s">
        <v>46</v>
      </c>
      <c r="C2" s="235"/>
      <c r="D2" s="235"/>
      <c r="E2" s="235"/>
      <c r="F2" s="235"/>
      <c r="G2" s="236"/>
    </row>
    <row r="3" spans="1:7" ht="15">
      <c r="A3" s="238"/>
      <c r="B3" s="242" t="s">
        <v>31</v>
      </c>
      <c r="C3" s="243"/>
      <c r="D3" s="244"/>
      <c r="E3" s="242" t="s">
        <v>32</v>
      </c>
      <c r="F3" s="243"/>
      <c r="G3" s="244"/>
    </row>
    <row r="4" spans="1:7" ht="15.75" thickBot="1">
      <c r="A4" s="239"/>
      <c r="B4" s="91" t="s">
        <v>11</v>
      </c>
      <c r="C4" s="92" t="s">
        <v>10</v>
      </c>
      <c r="D4" s="93" t="s">
        <v>27</v>
      </c>
      <c r="E4" s="91" t="s">
        <v>11</v>
      </c>
      <c r="F4" s="92" t="s">
        <v>10</v>
      </c>
      <c r="G4" s="93" t="s">
        <v>27</v>
      </c>
    </row>
    <row r="5" spans="1:7" ht="15">
      <c r="A5" s="107">
        <v>2010</v>
      </c>
      <c r="B5" s="104">
        <v>2060609</v>
      </c>
      <c r="C5" s="98">
        <v>2133894</v>
      </c>
      <c r="D5" s="99">
        <f>C5-B5</f>
        <v>73285</v>
      </c>
      <c r="E5" s="104">
        <v>46672</v>
      </c>
      <c r="F5" s="98">
        <v>48153</v>
      </c>
      <c r="G5" s="99">
        <f>F5-E5</f>
        <v>1481</v>
      </c>
    </row>
    <row r="6" spans="1:7" ht="15.75" thickBot="1">
      <c r="A6" s="108">
        <v>2030</v>
      </c>
      <c r="B6" s="142">
        <v>2977113</v>
      </c>
      <c r="C6" s="143">
        <v>2985341</v>
      </c>
      <c r="D6" s="144">
        <f>C6-B6</f>
        <v>8228</v>
      </c>
      <c r="E6" s="142">
        <v>73828</v>
      </c>
      <c r="F6" s="143">
        <v>73840</v>
      </c>
      <c r="G6" s="103">
        <f>F6-E6</f>
        <v>12</v>
      </c>
    </row>
    <row r="7" spans="1:8" ht="15.75" thickBot="1">
      <c r="A7" s="237"/>
      <c r="B7" s="234" t="s">
        <v>48</v>
      </c>
      <c r="C7" s="235"/>
      <c r="D7" s="235"/>
      <c r="E7" s="235"/>
      <c r="F7" s="235"/>
      <c r="G7" s="236"/>
      <c r="H7" s="97"/>
    </row>
    <row r="8" spans="1:7" ht="15">
      <c r="A8" s="240"/>
      <c r="B8" s="242" t="s">
        <v>31</v>
      </c>
      <c r="C8" s="243"/>
      <c r="D8" s="244"/>
      <c r="E8" s="242" t="s">
        <v>32</v>
      </c>
      <c r="F8" s="243"/>
      <c r="G8" s="244"/>
    </row>
    <row r="9" spans="1:7" ht="18" thickBot="1">
      <c r="A9" s="241"/>
      <c r="B9" s="91" t="s">
        <v>85</v>
      </c>
      <c r="C9" s="92" t="s">
        <v>10</v>
      </c>
      <c r="D9" s="93" t="s">
        <v>27</v>
      </c>
      <c r="E9" s="91" t="s">
        <v>85</v>
      </c>
      <c r="F9" s="92" t="s">
        <v>10</v>
      </c>
      <c r="G9" s="93" t="s">
        <v>27</v>
      </c>
    </row>
    <row r="10" spans="1:7" ht="15">
      <c r="A10" s="94">
        <v>2014</v>
      </c>
      <c r="B10" s="104">
        <f>C10</f>
        <v>2304183.399999991</v>
      </c>
      <c r="C10" s="98">
        <f>TREND(C$5:C$6,$A$5:$A$6,$A10)</f>
        <v>2304183.399999991</v>
      </c>
      <c r="D10" s="99">
        <f aca="true" t="shared" si="0" ref="D10:D34">C10-B10</f>
        <v>0</v>
      </c>
      <c r="E10" s="104">
        <f>F10</f>
        <v>53290.39999999991</v>
      </c>
      <c r="F10" s="98">
        <f>TREND(F$5:F$6,$A$5:$A$6,$A10)</f>
        <v>53290.39999999991</v>
      </c>
      <c r="G10" s="99">
        <f aca="true" t="shared" si="1" ref="G10:G34">F10-E10</f>
        <v>0</v>
      </c>
    </row>
    <row r="11" spans="1:7" ht="15">
      <c r="A11" s="95">
        <v>2015</v>
      </c>
      <c r="B11" s="105">
        <f>C11</f>
        <v>2346755.75</v>
      </c>
      <c r="C11" s="100">
        <f aca="true" t="shared" si="2" ref="B11:F34">TREND(C$5:C$6,$A$5:$A$6,$A11)</f>
        <v>2346755.75</v>
      </c>
      <c r="D11" s="101">
        <f t="shared" si="0"/>
        <v>0</v>
      </c>
      <c r="E11" s="105">
        <f>F11</f>
        <v>54574.75</v>
      </c>
      <c r="F11" s="100">
        <f t="shared" si="2"/>
        <v>54574.75</v>
      </c>
      <c r="G11" s="101">
        <f t="shared" si="1"/>
        <v>0</v>
      </c>
    </row>
    <row r="12" spans="1:7" ht="15">
      <c r="A12" s="95">
        <v>2016</v>
      </c>
      <c r="B12" s="105">
        <f>C12</f>
        <v>2389328.099999994</v>
      </c>
      <c r="C12" s="100">
        <f t="shared" si="2"/>
        <v>2389328.099999994</v>
      </c>
      <c r="D12" s="101">
        <f t="shared" si="0"/>
        <v>0</v>
      </c>
      <c r="E12" s="105">
        <f>F12</f>
        <v>55859.09999999963</v>
      </c>
      <c r="F12" s="100">
        <f t="shared" si="2"/>
        <v>55859.09999999963</v>
      </c>
      <c r="G12" s="101">
        <f t="shared" si="1"/>
        <v>0</v>
      </c>
    </row>
    <row r="13" spans="1:7" ht="15">
      <c r="A13" s="95">
        <v>2017</v>
      </c>
      <c r="B13" s="105">
        <f>C13</f>
        <v>2431900.450000003</v>
      </c>
      <c r="C13" s="100">
        <f t="shared" si="2"/>
        <v>2431900.450000003</v>
      </c>
      <c r="D13" s="101">
        <f t="shared" si="0"/>
        <v>0</v>
      </c>
      <c r="E13" s="105">
        <f>F13</f>
        <v>57143.44999999972</v>
      </c>
      <c r="F13" s="100">
        <f t="shared" si="2"/>
        <v>57143.44999999972</v>
      </c>
      <c r="G13" s="101">
        <f t="shared" si="1"/>
        <v>0</v>
      </c>
    </row>
    <row r="14" spans="1:7" ht="15">
      <c r="A14" s="95">
        <v>2018</v>
      </c>
      <c r="B14" s="105">
        <f>C14</f>
        <v>2474472.799999997</v>
      </c>
      <c r="C14" s="100">
        <f t="shared" si="2"/>
        <v>2474472.799999997</v>
      </c>
      <c r="D14" s="101">
        <f t="shared" si="0"/>
        <v>0</v>
      </c>
      <c r="E14" s="105">
        <f>F14</f>
        <v>58427.799999999814</v>
      </c>
      <c r="F14" s="100">
        <f t="shared" si="2"/>
        <v>58427.799999999814</v>
      </c>
      <c r="G14" s="101">
        <f t="shared" si="1"/>
        <v>0</v>
      </c>
    </row>
    <row r="15" spans="1:7" ht="15">
      <c r="A15" s="95">
        <v>2019</v>
      </c>
      <c r="B15" s="105">
        <f>TREND(B$5:B$6,$A$5:$A$6,$A15)</f>
        <v>2473035.799999997</v>
      </c>
      <c r="C15" s="100">
        <f t="shared" si="2"/>
        <v>2517045.149999991</v>
      </c>
      <c r="D15" s="101">
        <f t="shared" si="0"/>
        <v>44009.34999999404</v>
      </c>
      <c r="E15" s="105">
        <f t="shared" si="2"/>
        <v>58892.19999999972</v>
      </c>
      <c r="F15" s="100">
        <f t="shared" si="2"/>
        <v>59712.14999999991</v>
      </c>
      <c r="G15" s="101">
        <f t="shared" si="1"/>
        <v>819.9500000001863</v>
      </c>
    </row>
    <row r="16" spans="1:7" ht="15">
      <c r="A16" s="95">
        <v>2020</v>
      </c>
      <c r="B16" s="105">
        <f t="shared" si="2"/>
        <v>2518861</v>
      </c>
      <c r="C16" s="100">
        <f t="shared" si="2"/>
        <v>2559617.5</v>
      </c>
      <c r="D16" s="101">
        <f t="shared" si="0"/>
        <v>40756.5</v>
      </c>
      <c r="E16" s="105">
        <f t="shared" si="2"/>
        <v>60250</v>
      </c>
      <c r="F16" s="100">
        <f t="shared" si="2"/>
        <v>60996.5</v>
      </c>
      <c r="G16" s="101">
        <f t="shared" si="1"/>
        <v>746.5</v>
      </c>
    </row>
    <row r="17" spans="1:7" ht="15">
      <c r="A17" s="95">
        <v>2021</v>
      </c>
      <c r="B17" s="105">
        <f t="shared" si="2"/>
        <v>2564686.199999988</v>
      </c>
      <c r="C17" s="100">
        <f t="shared" si="2"/>
        <v>2602189.849999994</v>
      </c>
      <c r="D17" s="101">
        <f t="shared" si="0"/>
        <v>37503.65000000596</v>
      </c>
      <c r="E17" s="105">
        <f t="shared" si="2"/>
        <v>61607.799999999814</v>
      </c>
      <c r="F17" s="100">
        <f t="shared" si="2"/>
        <v>62280.84999999963</v>
      </c>
      <c r="G17" s="101">
        <f t="shared" si="1"/>
        <v>673.0499999998137</v>
      </c>
    </row>
    <row r="18" spans="1:7" ht="15">
      <c r="A18" s="95">
        <v>2022</v>
      </c>
      <c r="B18" s="105">
        <f t="shared" si="2"/>
        <v>2610511.399999991</v>
      </c>
      <c r="C18" s="100">
        <f t="shared" si="2"/>
        <v>2644762.200000003</v>
      </c>
      <c r="D18" s="101">
        <f t="shared" si="0"/>
        <v>34250.80000001192</v>
      </c>
      <c r="E18" s="105">
        <f t="shared" si="2"/>
        <v>62965.60000000009</v>
      </c>
      <c r="F18" s="100">
        <f t="shared" si="2"/>
        <v>63565.19999999972</v>
      </c>
      <c r="G18" s="101">
        <f t="shared" si="1"/>
        <v>599.5999999996275</v>
      </c>
    </row>
    <row r="19" spans="1:7" ht="15">
      <c r="A19" s="95">
        <v>2023</v>
      </c>
      <c r="B19" s="105">
        <f t="shared" si="2"/>
        <v>2656336.599999994</v>
      </c>
      <c r="C19" s="100">
        <f t="shared" si="2"/>
        <v>2687334.549999997</v>
      </c>
      <c r="D19" s="101">
        <f t="shared" si="0"/>
        <v>30997.95000000298</v>
      </c>
      <c r="E19" s="105">
        <f t="shared" si="2"/>
        <v>64323.39999999991</v>
      </c>
      <c r="F19" s="100">
        <f t="shared" si="2"/>
        <v>64849.549999999814</v>
      </c>
      <c r="G19" s="101">
        <f t="shared" si="1"/>
        <v>526.1499999999069</v>
      </c>
    </row>
    <row r="20" spans="1:7" ht="15">
      <c r="A20" s="95">
        <v>2024</v>
      </c>
      <c r="B20" s="105">
        <f t="shared" si="2"/>
        <v>2702161.799999997</v>
      </c>
      <c r="C20" s="100">
        <f t="shared" si="2"/>
        <v>2729906.899999991</v>
      </c>
      <c r="D20" s="101">
        <f t="shared" si="0"/>
        <v>27745.09999999404</v>
      </c>
      <c r="E20" s="105">
        <f t="shared" si="2"/>
        <v>65681.19999999972</v>
      </c>
      <c r="F20" s="100">
        <f t="shared" si="2"/>
        <v>66133.8999999999</v>
      </c>
      <c r="G20" s="101">
        <f t="shared" si="1"/>
        <v>452.70000000018626</v>
      </c>
    </row>
    <row r="21" spans="1:7" ht="15">
      <c r="A21" s="95">
        <v>2025</v>
      </c>
      <c r="B21" s="105">
        <f t="shared" si="2"/>
        <v>2747987</v>
      </c>
      <c r="C21" s="100">
        <f t="shared" si="2"/>
        <v>2772479.25</v>
      </c>
      <c r="D21" s="101">
        <f t="shared" si="0"/>
        <v>24492.25</v>
      </c>
      <c r="E21" s="105">
        <f t="shared" si="2"/>
        <v>67039</v>
      </c>
      <c r="F21" s="100">
        <f t="shared" si="2"/>
        <v>67418.25</v>
      </c>
      <c r="G21" s="101">
        <f t="shared" si="1"/>
        <v>379.25</v>
      </c>
    </row>
    <row r="22" spans="1:7" ht="15">
      <c r="A22" s="95">
        <v>2026</v>
      </c>
      <c r="B22" s="105">
        <f t="shared" si="2"/>
        <v>2793812.199999988</v>
      </c>
      <c r="C22" s="100">
        <f t="shared" si="2"/>
        <v>2815051.599999994</v>
      </c>
      <c r="D22" s="101">
        <f t="shared" si="0"/>
        <v>21239.40000000596</v>
      </c>
      <c r="E22" s="105">
        <f t="shared" si="2"/>
        <v>68396.79999999981</v>
      </c>
      <c r="F22" s="100">
        <f t="shared" si="2"/>
        <v>68702.59999999963</v>
      </c>
      <c r="G22" s="101">
        <f t="shared" si="1"/>
        <v>305.79999999981374</v>
      </c>
    </row>
    <row r="23" spans="1:7" ht="15">
      <c r="A23" s="95">
        <v>2027</v>
      </c>
      <c r="B23" s="105">
        <f t="shared" si="2"/>
        <v>2839637.399999991</v>
      </c>
      <c r="C23" s="100">
        <f t="shared" si="2"/>
        <v>2857623.950000003</v>
      </c>
      <c r="D23" s="101">
        <f t="shared" si="0"/>
        <v>17986.55000001192</v>
      </c>
      <c r="E23" s="105">
        <f t="shared" si="2"/>
        <v>69754.6000000001</v>
      </c>
      <c r="F23" s="100">
        <f t="shared" si="2"/>
        <v>69986.94999999972</v>
      </c>
      <c r="G23" s="101">
        <f t="shared" si="1"/>
        <v>232.34999999962747</v>
      </c>
    </row>
    <row r="24" spans="1:7" ht="15">
      <c r="A24" s="95">
        <v>2028</v>
      </c>
      <c r="B24" s="105">
        <f t="shared" si="2"/>
        <v>2885462.599999994</v>
      </c>
      <c r="C24" s="100">
        <f t="shared" si="2"/>
        <v>2900196.299999997</v>
      </c>
      <c r="D24" s="101">
        <f t="shared" si="0"/>
        <v>14733.70000000298</v>
      </c>
      <c r="E24" s="105">
        <f t="shared" si="2"/>
        <v>71112.3999999999</v>
      </c>
      <c r="F24" s="100">
        <f t="shared" si="2"/>
        <v>71271.29999999981</v>
      </c>
      <c r="G24" s="101">
        <f t="shared" si="1"/>
        <v>158.89999999990687</v>
      </c>
    </row>
    <row r="25" spans="1:7" ht="15">
      <c r="A25" s="95">
        <v>2029</v>
      </c>
      <c r="B25" s="105">
        <f t="shared" si="2"/>
        <v>2931287.799999997</v>
      </c>
      <c r="C25" s="100">
        <f t="shared" si="2"/>
        <v>2942768.649999991</v>
      </c>
      <c r="D25" s="101">
        <f t="shared" si="0"/>
        <v>11480.84999999404</v>
      </c>
      <c r="E25" s="105">
        <f t="shared" si="2"/>
        <v>72470.19999999972</v>
      </c>
      <c r="F25" s="100">
        <f t="shared" si="2"/>
        <v>72555.6499999999</v>
      </c>
      <c r="G25" s="101">
        <f t="shared" si="1"/>
        <v>85.45000000018626</v>
      </c>
    </row>
    <row r="26" spans="1:7" ht="15">
      <c r="A26" s="95">
        <v>2030</v>
      </c>
      <c r="B26" s="105">
        <f t="shared" si="2"/>
        <v>2977113</v>
      </c>
      <c r="C26" s="100">
        <f t="shared" si="2"/>
        <v>2985341</v>
      </c>
      <c r="D26" s="101">
        <f t="shared" si="0"/>
        <v>8228</v>
      </c>
      <c r="E26" s="105">
        <f t="shared" si="2"/>
        <v>73828</v>
      </c>
      <c r="F26" s="100">
        <f t="shared" si="2"/>
        <v>73840</v>
      </c>
      <c r="G26" s="101">
        <f t="shared" si="1"/>
        <v>12</v>
      </c>
    </row>
    <row r="27" spans="1:7" ht="15">
      <c r="A27" s="95">
        <v>2031</v>
      </c>
      <c r="B27" s="105">
        <f t="shared" si="2"/>
        <v>3022938.199999988</v>
      </c>
      <c r="C27" s="100">
        <f t="shared" si="2"/>
        <v>3027913.349999994</v>
      </c>
      <c r="D27" s="101">
        <f t="shared" si="0"/>
        <v>4975.1500000059605</v>
      </c>
      <c r="E27" s="105">
        <f t="shared" si="2"/>
        <v>75185.79999999981</v>
      </c>
      <c r="F27" s="100">
        <f t="shared" si="2"/>
        <v>75124.34999999963</v>
      </c>
      <c r="G27" s="101">
        <f t="shared" si="1"/>
        <v>-61.450000000186265</v>
      </c>
    </row>
    <row r="28" spans="1:7" ht="15">
      <c r="A28" s="95">
        <v>2032</v>
      </c>
      <c r="B28" s="105">
        <f t="shared" si="2"/>
        <v>3068763.399999991</v>
      </c>
      <c r="C28" s="100">
        <f t="shared" si="2"/>
        <v>3070485.700000003</v>
      </c>
      <c r="D28" s="101">
        <f t="shared" si="0"/>
        <v>1722.300000011921</v>
      </c>
      <c r="E28" s="105">
        <f t="shared" si="2"/>
        <v>76543.6000000001</v>
      </c>
      <c r="F28" s="100">
        <f t="shared" si="2"/>
        <v>76408.69999999972</v>
      </c>
      <c r="G28" s="101">
        <f t="shared" si="1"/>
        <v>-134.90000000037253</v>
      </c>
    </row>
    <row r="29" spans="1:7" ht="15">
      <c r="A29" s="95">
        <v>2033</v>
      </c>
      <c r="B29" s="105">
        <f t="shared" si="2"/>
        <v>3114588.599999994</v>
      </c>
      <c r="C29" s="100">
        <f t="shared" si="2"/>
        <v>3113058.049999997</v>
      </c>
      <c r="D29" s="101">
        <f t="shared" si="0"/>
        <v>-1530.5499999970198</v>
      </c>
      <c r="E29" s="105">
        <f t="shared" si="2"/>
        <v>77901.3999999999</v>
      </c>
      <c r="F29" s="100">
        <f t="shared" si="2"/>
        <v>77693.04999999981</v>
      </c>
      <c r="G29" s="101">
        <f t="shared" si="1"/>
        <v>-208.35000000009313</v>
      </c>
    </row>
    <row r="30" spans="1:7" ht="15">
      <c r="A30" s="95">
        <v>2034</v>
      </c>
      <c r="B30" s="105">
        <f t="shared" si="2"/>
        <v>3160413.799999997</v>
      </c>
      <c r="C30" s="100">
        <f t="shared" si="2"/>
        <v>3155630.399999991</v>
      </c>
      <c r="D30" s="101">
        <f t="shared" si="0"/>
        <v>-4783.4000000059605</v>
      </c>
      <c r="E30" s="105">
        <f t="shared" si="2"/>
        <v>79259.19999999972</v>
      </c>
      <c r="F30" s="100">
        <f t="shared" si="2"/>
        <v>78977.3999999999</v>
      </c>
      <c r="G30" s="101">
        <f t="shared" si="1"/>
        <v>-281.79999999981374</v>
      </c>
    </row>
    <row r="31" spans="1:7" ht="15">
      <c r="A31" s="95">
        <v>2035</v>
      </c>
      <c r="B31" s="105">
        <f t="shared" si="2"/>
        <v>3206239</v>
      </c>
      <c r="C31" s="100">
        <f t="shared" si="2"/>
        <v>3198202.75</v>
      </c>
      <c r="D31" s="101">
        <f t="shared" si="0"/>
        <v>-8036.25</v>
      </c>
      <c r="E31" s="105">
        <f t="shared" si="2"/>
        <v>80617</v>
      </c>
      <c r="F31" s="100">
        <f t="shared" si="2"/>
        <v>80261.75</v>
      </c>
      <c r="G31" s="101">
        <f t="shared" si="1"/>
        <v>-355.25</v>
      </c>
    </row>
    <row r="32" spans="1:7" ht="15">
      <c r="A32" s="95">
        <v>2036</v>
      </c>
      <c r="B32" s="105">
        <f t="shared" si="2"/>
        <v>3252064.199999988</v>
      </c>
      <c r="C32" s="100">
        <f t="shared" si="2"/>
        <v>3240775.099999994</v>
      </c>
      <c r="D32" s="101">
        <f t="shared" si="0"/>
        <v>-11289.09999999404</v>
      </c>
      <c r="E32" s="105">
        <f t="shared" si="2"/>
        <v>81974.79999999981</v>
      </c>
      <c r="F32" s="100">
        <f t="shared" si="2"/>
        <v>81546.09999999963</v>
      </c>
      <c r="G32" s="101">
        <f t="shared" si="1"/>
        <v>-428.70000000018626</v>
      </c>
    </row>
    <row r="33" spans="1:7" ht="15">
      <c r="A33" s="95">
        <v>2037</v>
      </c>
      <c r="B33" s="105">
        <f t="shared" si="2"/>
        <v>3297889.399999991</v>
      </c>
      <c r="C33" s="100">
        <f t="shared" si="2"/>
        <v>3283347.450000003</v>
      </c>
      <c r="D33" s="101">
        <f t="shared" si="0"/>
        <v>-14541.949999988079</v>
      </c>
      <c r="E33" s="105">
        <f t="shared" si="2"/>
        <v>83332.6000000001</v>
      </c>
      <c r="F33" s="100">
        <f t="shared" si="2"/>
        <v>82830.44999999972</v>
      </c>
      <c r="G33" s="101">
        <f t="shared" si="1"/>
        <v>-502.15000000037253</v>
      </c>
    </row>
    <row r="34" spans="1:7" ht="15.75" thickBot="1">
      <c r="A34" s="96">
        <v>2038</v>
      </c>
      <c r="B34" s="106">
        <f t="shared" si="2"/>
        <v>3343714.599999994</v>
      </c>
      <c r="C34" s="102">
        <f t="shared" si="2"/>
        <v>3325919.799999997</v>
      </c>
      <c r="D34" s="103">
        <f t="shared" si="0"/>
        <v>-17794.79999999702</v>
      </c>
      <c r="E34" s="106">
        <f t="shared" si="2"/>
        <v>84690.3999999999</v>
      </c>
      <c r="F34" s="102">
        <f t="shared" si="2"/>
        <v>84114.79999999981</v>
      </c>
      <c r="G34" s="103">
        <f t="shared" si="1"/>
        <v>-575.6000000000931</v>
      </c>
    </row>
    <row r="35" spans="1:7" ht="15">
      <c r="A35" s="199" t="s">
        <v>86</v>
      </c>
      <c r="B35" s="199"/>
      <c r="C35" s="199"/>
      <c r="D35" s="199"/>
      <c r="E35" s="199"/>
      <c r="F35" s="199"/>
      <c r="G35" s="199"/>
    </row>
  </sheetData>
  <sheetProtection/>
  <mergeCells count="9">
    <mergeCell ref="A1:G1"/>
    <mergeCell ref="B7:G7"/>
    <mergeCell ref="B2:G2"/>
    <mergeCell ref="A2:A4"/>
    <mergeCell ref="A7:A9"/>
    <mergeCell ref="B3:D3"/>
    <mergeCell ref="E3:G3"/>
    <mergeCell ref="B8:D8"/>
    <mergeCell ref="E8:G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H31"/>
    </sheetView>
  </sheetViews>
  <sheetFormatPr defaultColWidth="9.140625" defaultRowHeight="15"/>
  <cols>
    <col min="1" max="1" width="9.28125" style="0" bestFit="1" customWidth="1"/>
    <col min="2" max="2" width="11.57421875" style="0" customWidth="1"/>
    <col min="3" max="3" width="10.140625" style="2" bestFit="1" customWidth="1"/>
    <col min="4" max="4" width="10.7109375" style="2" bestFit="1" customWidth="1"/>
    <col min="5" max="5" width="9.00390625" style="0" customWidth="1"/>
    <col min="6" max="6" width="5.7109375" style="2" bestFit="1" customWidth="1"/>
    <col min="7" max="7" width="10.7109375" style="2" bestFit="1" customWidth="1"/>
    <col min="8" max="8" width="15.421875" style="0" customWidth="1"/>
    <col min="9" max="9" width="12.57421875" style="0" hidden="1" customWidth="1"/>
  </cols>
  <sheetData>
    <row r="1" spans="1:9" ht="18.75" thickBot="1">
      <c r="A1" s="255" t="s">
        <v>7</v>
      </c>
      <c r="B1" s="256"/>
      <c r="C1" s="256"/>
      <c r="D1" s="256"/>
      <c r="E1" s="256"/>
      <c r="F1" s="256"/>
      <c r="G1" s="256"/>
      <c r="H1" s="257"/>
      <c r="I1" s="64"/>
    </row>
    <row r="2" spans="1:9" ht="15">
      <c r="A2" s="253" t="s">
        <v>0</v>
      </c>
      <c r="B2" s="246" t="s">
        <v>11</v>
      </c>
      <c r="C2" s="247"/>
      <c r="D2" s="248"/>
      <c r="E2" s="249" t="s">
        <v>10</v>
      </c>
      <c r="F2" s="247"/>
      <c r="G2" s="250"/>
      <c r="H2" s="251" t="s">
        <v>47</v>
      </c>
      <c r="I2" s="21" t="s">
        <v>12</v>
      </c>
    </row>
    <row r="3" spans="1:9" ht="15.75" thickBot="1">
      <c r="A3" s="254"/>
      <c r="B3" s="58" t="s">
        <v>1</v>
      </c>
      <c r="C3" s="59" t="s">
        <v>102</v>
      </c>
      <c r="D3" s="60" t="s">
        <v>20</v>
      </c>
      <c r="E3" s="61" t="s">
        <v>1</v>
      </c>
      <c r="F3" s="59" t="s">
        <v>102</v>
      </c>
      <c r="G3" s="62" t="s">
        <v>20</v>
      </c>
      <c r="H3" s="252"/>
      <c r="I3" s="22" t="s">
        <v>21</v>
      </c>
    </row>
    <row r="4" spans="1:9" ht="15">
      <c r="A4" s="42">
        <v>2014</v>
      </c>
      <c r="B4" s="48"/>
      <c r="C4" s="44">
        <v>0</v>
      </c>
      <c r="D4" s="45">
        <v>0</v>
      </c>
      <c r="E4" s="43"/>
      <c r="F4" s="44">
        <v>0</v>
      </c>
      <c r="G4" s="51">
        <v>0</v>
      </c>
      <c r="H4" s="54">
        <f>(C4+D4)-(F4+G4)</f>
        <v>0</v>
      </c>
      <c r="I4" s="2">
        <f>H4*(1+'Total Benefit Cost'!$B$5)^(A4-$A$6)</f>
        <v>0</v>
      </c>
    </row>
    <row r="5" spans="1:9" ht="15">
      <c r="A5" s="40">
        <v>2015</v>
      </c>
      <c r="B5" s="49" t="s">
        <v>101</v>
      </c>
      <c r="C5" s="34">
        <f>15000000*0.14</f>
        <v>2100000</v>
      </c>
      <c r="D5" s="36">
        <v>0</v>
      </c>
      <c r="E5" s="39"/>
      <c r="F5" s="34">
        <v>0</v>
      </c>
      <c r="G5" s="52">
        <v>0</v>
      </c>
      <c r="H5" s="55">
        <f>(C5+D5)-(F5+G5)</f>
        <v>2100000</v>
      </c>
      <c r="I5" s="2">
        <f>H5*(1+'Total Benefit Cost'!$B$5)^(A5-$A$6)</f>
        <v>2100000</v>
      </c>
    </row>
    <row r="6" spans="1:9" ht="15">
      <c r="A6" s="40">
        <v>2016</v>
      </c>
      <c r="B6" s="49" t="s">
        <v>103</v>
      </c>
      <c r="C6" s="35">
        <f>3375000*1.1</f>
        <v>3712500.0000000005</v>
      </c>
      <c r="D6" s="36">
        <v>0</v>
      </c>
      <c r="E6" s="46"/>
      <c r="F6" s="34">
        <v>0</v>
      </c>
      <c r="G6" s="52">
        <v>0</v>
      </c>
      <c r="H6" s="55">
        <f>(C6+D6)-(F6+G6)</f>
        <v>3712500.0000000005</v>
      </c>
      <c r="I6" s="2">
        <f>H6*(1+'Total Benefit Cost'!$B$5)^(A6-$A$6)</f>
        <v>3712500.0000000005</v>
      </c>
    </row>
    <row r="7" spans="1:9" ht="15">
      <c r="A7" s="40">
        <v>2017</v>
      </c>
      <c r="B7" s="49" t="s">
        <v>103</v>
      </c>
      <c r="C7" s="34">
        <f>7250000*1.1</f>
        <v>7975000.000000001</v>
      </c>
      <c r="D7" s="36">
        <v>0</v>
      </c>
      <c r="E7" s="46"/>
      <c r="F7" s="34">
        <v>0</v>
      </c>
      <c r="G7" s="52">
        <v>0</v>
      </c>
      <c r="H7" s="55">
        <f aca="true" t="shared" si="0" ref="H7:H28">(C7+D7)-(F7+G7)</f>
        <v>7975000.000000001</v>
      </c>
      <c r="I7" s="2">
        <f>H7*(1+'Total Benefit Cost'!$B$5)^(A7-$A$6)</f>
        <v>7975000.000000001</v>
      </c>
    </row>
    <row r="8" spans="1:9" ht="15">
      <c r="A8" s="40">
        <v>2018</v>
      </c>
      <c r="B8" s="49" t="s">
        <v>103</v>
      </c>
      <c r="C8" s="34">
        <f>3375000*1.1</f>
        <v>3712500.0000000005</v>
      </c>
      <c r="D8" s="36">
        <v>0</v>
      </c>
      <c r="E8" s="46"/>
      <c r="F8" s="34">
        <v>0</v>
      </c>
      <c r="G8" s="52">
        <v>0</v>
      </c>
      <c r="H8" s="55">
        <f t="shared" si="0"/>
        <v>3712500.0000000005</v>
      </c>
      <c r="I8" s="2">
        <f>H8*(1+'Total Benefit Cost'!$B$5)^(A8-$A$6)</f>
        <v>3712500.0000000005</v>
      </c>
    </row>
    <row r="9" spans="1:9" ht="15">
      <c r="A9" s="40">
        <v>2019</v>
      </c>
      <c r="B9" s="49"/>
      <c r="C9" s="34">
        <v>0</v>
      </c>
      <c r="D9" s="36">
        <v>0</v>
      </c>
      <c r="E9" s="46"/>
      <c r="F9" s="34">
        <v>0</v>
      </c>
      <c r="G9" s="52">
        <v>0</v>
      </c>
      <c r="H9" s="55">
        <f t="shared" si="0"/>
        <v>0</v>
      </c>
      <c r="I9" s="2">
        <f>H9*(1+'Total Benefit Cost'!$B$5)^(A9-$A$6)</f>
        <v>0</v>
      </c>
    </row>
    <row r="10" spans="1:9" ht="15">
      <c r="A10" s="40">
        <v>2020</v>
      </c>
      <c r="B10" s="49"/>
      <c r="C10" s="34">
        <v>0</v>
      </c>
      <c r="D10" s="36">
        <v>0</v>
      </c>
      <c r="E10" s="46"/>
      <c r="F10" s="34">
        <v>0</v>
      </c>
      <c r="G10" s="52">
        <v>0</v>
      </c>
      <c r="H10" s="55">
        <f t="shared" si="0"/>
        <v>0</v>
      </c>
      <c r="I10" s="2">
        <f>H10*(1+'Total Benefit Cost'!$B$5)^(A10-$A$6)</f>
        <v>0</v>
      </c>
    </row>
    <row r="11" spans="1:9" ht="15">
      <c r="A11" s="40">
        <v>2021</v>
      </c>
      <c r="B11" s="49"/>
      <c r="C11" s="34">
        <v>0</v>
      </c>
      <c r="D11" s="36">
        <v>0</v>
      </c>
      <c r="E11" s="46"/>
      <c r="F11" s="34">
        <v>0</v>
      </c>
      <c r="G11" s="52">
        <v>0</v>
      </c>
      <c r="H11" s="55">
        <f t="shared" si="0"/>
        <v>0</v>
      </c>
      <c r="I11" s="2">
        <f>H11*(1+'Total Benefit Cost'!$B$5)^(A11-$A$6)</f>
        <v>0</v>
      </c>
    </row>
    <row r="12" spans="1:9" ht="15">
      <c r="A12" s="40">
        <v>2022</v>
      </c>
      <c r="B12" s="49"/>
      <c r="C12" s="34">
        <v>0</v>
      </c>
      <c r="D12" s="36">
        <v>0</v>
      </c>
      <c r="E12" s="46"/>
      <c r="F12" s="34">
        <v>0</v>
      </c>
      <c r="G12" s="52">
        <v>0</v>
      </c>
      <c r="H12" s="55">
        <f t="shared" si="0"/>
        <v>0</v>
      </c>
      <c r="I12" s="2">
        <f>H12*(1+'Total Benefit Cost'!$B$5)^(A12-$A$6)</f>
        <v>0</v>
      </c>
    </row>
    <row r="13" spans="1:9" ht="15">
      <c r="A13" s="40">
        <v>2023</v>
      </c>
      <c r="B13" s="49"/>
      <c r="C13" s="34">
        <v>0</v>
      </c>
      <c r="D13" s="36">
        <v>0</v>
      </c>
      <c r="E13" s="46"/>
      <c r="F13" s="34">
        <v>0</v>
      </c>
      <c r="G13" s="52">
        <v>0</v>
      </c>
      <c r="H13" s="55">
        <f t="shared" si="0"/>
        <v>0</v>
      </c>
      <c r="I13" s="2">
        <f>H13*(1+'Total Benefit Cost'!$B$5)^(A13-$A$6)</f>
        <v>0</v>
      </c>
    </row>
    <row r="14" spans="1:9" ht="15">
      <c r="A14" s="40">
        <v>2024</v>
      </c>
      <c r="B14" s="49"/>
      <c r="C14" s="34">
        <v>0</v>
      </c>
      <c r="D14" s="36">
        <v>0</v>
      </c>
      <c r="E14" s="46"/>
      <c r="F14" s="34">
        <v>0</v>
      </c>
      <c r="G14" s="52">
        <v>0</v>
      </c>
      <c r="H14" s="55">
        <f t="shared" si="0"/>
        <v>0</v>
      </c>
      <c r="I14" s="2">
        <f>H14*(1+'Total Benefit Cost'!$B$5)^(A14-$A$6)</f>
        <v>0</v>
      </c>
    </row>
    <row r="15" spans="1:9" ht="15">
      <c r="A15" s="40">
        <v>2025</v>
      </c>
      <c r="B15" s="49"/>
      <c r="C15" s="34">
        <v>0</v>
      </c>
      <c r="D15" s="36">
        <v>0</v>
      </c>
      <c r="E15" s="46"/>
      <c r="F15" s="34">
        <v>0</v>
      </c>
      <c r="G15" s="52">
        <v>0</v>
      </c>
      <c r="H15" s="55">
        <f t="shared" si="0"/>
        <v>0</v>
      </c>
      <c r="I15" s="2">
        <f>H15*(1+'Total Benefit Cost'!$B$5)^(A15-$A$6)</f>
        <v>0</v>
      </c>
    </row>
    <row r="16" spans="1:9" ht="15">
      <c r="A16" s="40">
        <v>2026</v>
      </c>
      <c r="B16" s="49"/>
      <c r="C16" s="34">
        <v>0</v>
      </c>
      <c r="D16" s="36">
        <v>0</v>
      </c>
      <c r="E16" s="46"/>
      <c r="F16" s="34">
        <v>0</v>
      </c>
      <c r="G16" s="52">
        <v>0</v>
      </c>
      <c r="H16" s="55">
        <f t="shared" si="0"/>
        <v>0</v>
      </c>
      <c r="I16" s="2">
        <f>H16*(1+'Total Benefit Cost'!$B$5)^(A16-$A$6)</f>
        <v>0</v>
      </c>
    </row>
    <row r="17" spans="1:9" ht="15">
      <c r="A17" s="40">
        <v>2027</v>
      </c>
      <c r="B17" s="49"/>
      <c r="C17" s="34">
        <v>0</v>
      </c>
      <c r="D17" s="36">
        <v>0</v>
      </c>
      <c r="E17" s="46"/>
      <c r="F17" s="34">
        <v>0</v>
      </c>
      <c r="G17" s="52">
        <v>0</v>
      </c>
      <c r="H17" s="55">
        <f t="shared" si="0"/>
        <v>0</v>
      </c>
      <c r="I17" s="2">
        <f>H17*(1+'Total Benefit Cost'!$B$5)^(A17-$A$6)</f>
        <v>0</v>
      </c>
    </row>
    <row r="18" spans="1:9" ht="15">
      <c r="A18" s="40">
        <v>2028</v>
      </c>
      <c r="B18" s="49"/>
      <c r="C18" s="34">
        <v>0</v>
      </c>
      <c r="D18" s="36">
        <v>0</v>
      </c>
      <c r="E18" s="46"/>
      <c r="F18" s="34">
        <v>0</v>
      </c>
      <c r="G18" s="52">
        <v>0</v>
      </c>
      <c r="H18" s="55">
        <f t="shared" si="0"/>
        <v>0</v>
      </c>
      <c r="I18" s="2">
        <f>H18*(1+'Total Benefit Cost'!$B$5)^(A18-$A$6)</f>
        <v>0</v>
      </c>
    </row>
    <row r="19" spans="1:9" ht="15">
      <c r="A19" s="40">
        <v>2029</v>
      </c>
      <c r="B19" s="49"/>
      <c r="C19" s="34">
        <v>0</v>
      </c>
      <c r="D19" s="36">
        <v>0</v>
      </c>
      <c r="E19" s="46"/>
      <c r="F19" s="34">
        <v>0</v>
      </c>
      <c r="G19" s="52">
        <v>0</v>
      </c>
      <c r="H19" s="55">
        <f t="shared" si="0"/>
        <v>0</v>
      </c>
      <c r="I19" s="2">
        <f>H19*(1+'Total Benefit Cost'!$B$5)^(A19-$A$6)</f>
        <v>0</v>
      </c>
    </row>
    <row r="20" spans="1:9" ht="15">
      <c r="A20" s="40">
        <v>2030</v>
      </c>
      <c r="B20" s="49"/>
      <c r="C20" s="34">
        <v>0</v>
      </c>
      <c r="D20" s="36">
        <v>0</v>
      </c>
      <c r="E20" s="46"/>
      <c r="F20" s="34">
        <v>0</v>
      </c>
      <c r="G20" s="52">
        <v>0</v>
      </c>
      <c r="H20" s="55">
        <f t="shared" si="0"/>
        <v>0</v>
      </c>
      <c r="I20" s="2">
        <f>H20*(1+'Total Benefit Cost'!$B$5)^(A20-$A$6)</f>
        <v>0</v>
      </c>
    </row>
    <row r="21" spans="1:9" ht="15">
      <c r="A21" s="40">
        <v>2031</v>
      </c>
      <c r="B21" s="49"/>
      <c r="C21" s="34">
        <v>0</v>
      </c>
      <c r="D21" s="36">
        <v>0</v>
      </c>
      <c r="E21" s="46"/>
      <c r="F21" s="34">
        <v>0</v>
      </c>
      <c r="G21" s="52">
        <v>0</v>
      </c>
      <c r="H21" s="55">
        <f t="shared" si="0"/>
        <v>0</v>
      </c>
      <c r="I21" s="2">
        <f>H21*(1+'Total Benefit Cost'!$B$5)^(A21-$A$6)</f>
        <v>0</v>
      </c>
    </row>
    <row r="22" spans="1:9" ht="15">
      <c r="A22" s="40">
        <v>2032</v>
      </c>
      <c r="B22" s="49"/>
      <c r="C22" s="34">
        <v>0</v>
      </c>
      <c r="D22" s="36">
        <v>0</v>
      </c>
      <c r="E22" s="46"/>
      <c r="F22" s="34">
        <v>0</v>
      </c>
      <c r="G22" s="52">
        <v>0</v>
      </c>
      <c r="H22" s="55">
        <f t="shared" si="0"/>
        <v>0</v>
      </c>
      <c r="I22" s="2">
        <f>H22*(1+'Total Benefit Cost'!$B$5)^(A22-$A$6)</f>
        <v>0</v>
      </c>
    </row>
    <row r="23" spans="1:9" ht="15">
      <c r="A23" s="40">
        <v>2033</v>
      </c>
      <c r="B23" s="49"/>
      <c r="C23" s="34">
        <v>0</v>
      </c>
      <c r="D23" s="36">
        <v>0</v>
      </c>
      <c r="E23" s="46"/>
      <c r="F23" s="34">
        <v>0</v>
      </c>
      <c r="G23" s="52">
        <v>0</v>
      </c>
      <c r="H23" s="55">
        <f t="shared" si="0"/>
        <v>0</v>
      </c>
      <c r="I23" s="2">
        <f>H23*(1+'Total Benefit Cost'!$B$5)^(A23-$A$6)</f>
        <v>0</v>
      </c>
    </row>
    <row r="24" spans="1:9" ht="15">
      <c r="A24" s="40">
        <v>2034</v>
      </c>
      <c r="B24" s="49"/>
      <c r="C24" s="34">
        <v>0</v>
      </c>
      <c r="D24" s="36">
        <v>0</v>
      </c>
      <c r="E24" s="46"/>
      <c r="F24" s="34">
        <v>0</v>
      </c>
      <c r="G24" s="52">
        <v>0</v>
      </c>
      <c r="H24" s="55">
        <f t="shared" si="0"/>
        <v>0</v>
      </c>
      <c r="I24" s="2">
        <f>H24*(1+'Total Benefit Cost'!$B$5)^(A24-$A$6)</f>
        <v>0</v>
      </c>
    </row>
    <row r="25" spans="1:9" ht="15">
      <c r="A25" s="40">
        <v>2035</v>
      </c>
      <c r="B25" s="49"/>
      <c r="C25" s="34">
        <v>0</v>
      </c>
      <c r="D25" s="36">
        <v>0</v>
      </c>
      <c r="E25" s="46"/>
      <c r="F25" s="34">
        <v>0</v>
      </c>
      <c r="G25" s="52">
        <v>0</v>
      </c>
      <c r="H25" s="55">
        <f t="shared" si="0"/>
        <v>0</v>
      </c>
      <c r="I25" s="2">
        <f>H25*(1+'Total Benefit Cost'!$B$5)^(A25-$A$6)</f>
        <v>0</v>
      </c>
    </row>
    <row r="26" spans="1:9" ht="15">
      <c r="A26" s="40">
        <v>2036</v>
      </c>
      <c r="B26" s="49"/>
      <c r="C26" s="34">
        <v>0</v>
      </c>
      <c r="D26" s="36">
        <v>0</v>
      </c>
      <c r="E26" s="46"/>
      <c r="F26" s="34">
        <v>0</v>
      </c>
      <c r="G26" s="52">
        <v>0</v>
      </c>
      <c r="H26" s="55">
        <f t="shared" si="0"/>
        <v>0</v>
      </c>
      <c r="I26" s="2">
        <f>H26*(1+'Total Benefit Cost'!$B$5)^(A26-$A$6)</f>
        <v>0</v>
      </c>
    </row>
    <row r="27" spans="1:9" ht="15">
      <c r="A27" s="40">
        <v>2037</v>
      </c>
      <c r="B27" s="49"/>
      <c r="C27" s="34">
        <v>0</v>
      </c>
      <c r="D27" s="36">
        <v>0</v>
      </c>
      <c r="E27" s="46"/>
      <c r="F27" s="34">
        <v>0</v>
      </c>
      <c r="G27" s="52">
        <v>0</v>
      </c>
      <c r="H27" s="55">
        <f t="shared" si="0"/>
        <v>0</v>
      </c>
      <c r="I27" s="2">
        <f>H27*(1+'Total Benefit Cost'!$B$5)^(A27-$A$6)</f>
        <v>0</v>
      </c>
    </row>
    <row r="28" spans="1:9" ht="15.75" thickBot="1">
      <c r="A28" s="41">
        <v>2038</v>
      </c>
      <c r="B28" s="50"/>
      <c r="C28" s="37">
        <v>0</v>
      </c>
      <c r="D28" s="38">
        <v>0</v>
      </c>
      <c r="E28" s="47"/>
      <c r="F28" s="37">
        <v>0</v>
      </c>
      <c r="G28" s="53">
        <v>0</v>
      </c>
      <c r="H28" s="56">
        <f t="shared" si="0"/>
        <v>0</v>
      </c>
      <c r="I28" s="2">
        <f>H28*(1+'Total Benefit Cost'!$B$5)^(A28-$A$6)</f>
        <v>0</v>
      </c>
    </row>
    <row r="29" spans="1:8" ht="15">
      <c r="A29" s="218" t="s">
        <v>35</v>
      </c>
      <c r="B29" s="218"/>
      <c r="C29" s="218"/>
      <c r="D29" s="218"/>
      <c r="E29" s="218"/>
      <c r="F29" s="218"/>
      <c r="G29" s="218"/>
      <c r="H29" s="218"/>
    </row>
    <row r="30" spans="1:8" ht="15">
      <c r="A30" s="210" t="s">
        <v>105</v>
      </c>
      <c r="B30" s="210"/>
      <c r="C30" s="210"/>
      <c r="D30" s="210"/>
      <c r="E30" s="210"/>
      <c r="F30" s="210"/>
      <c r="G30" s="210"/>
      <c r="H30" s="210"/>
    </row>
    <row r="31" spans="1:8" ht="15">
      <c r="A31" s="245" t="s">
        <v>104</v>
      </c>
      <c r="B31" s="245"/>
      <c r="C31" s="245"/>
      <c r="D31" s="245"/>
      <c r="E31" s="245"/>
      <c r="F31" s="245"/>
      <c r="G31" s="245"/>
      <c r="H31" s="245"/>
    </row>
    <row r="32" spans="1:8" ht="15">
      <c r="A32" s="20"/>
      <c r="B32" s="20"/>
      <c r="C32" s="20"/>
      <c r="D32" s="20"/>
      <c r="E32" s="20"/>
      <c r="F32" s="20"/>
      <c r="G32" s="20"/>
      <c r="H32" s="20"/>
    </row>
    <row r="33" spans="1:8" ht="15">
      <c r="A33" s="20"/>
      <c r="B33" s="20"/>
      <c r="C33" s="20"/>
      <c r="D33" s="20"/>
      <c r="E33" s="20"/>
      <c r="F33" s="20"/>
      <c r="G33" s="20"/>
      <c r="H33" s="20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</sheetData>
  <sheetProtection/>
  <mergeCells count="8">
    <mergeCell ref="A1:H1"/>
    <mergeCell ref="A29:H29"/>
    <mergeCell ref="A30:H30"/>
    <mergeCell ref="A31:H31"/>
    <mergeCell ref="B2:D2"/>
    <mergeCell ref="E2:G2"/>
    <mergeCell ref="H2:H3"/>
    <mergeCell ref="A2:A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:G29"/>
    </sheetView>
  </sheetViews>
  <sheetFormatPr defaultColWidth="9.140625" defaultRowHeight="15"/>
  <cols>
    <col min="1" max="1" width="9.140625" style="5" customWidth="1"/>
    <col min="2" max="3" width="8.8515625" style="5" customWidth="1"/>
    <col min="4" max="4" width="10.7109375" style="10" customWidth="1"/>
    <col min="5" max="5" width="12.00390625" style="8" customWidth="1"/>
    <col min="6" max="6" width="16.00390625" style="7" customWidth="1"/>
    <col min="7" max="7" width="16.57421875" style="7" customWidth="1"/>
    <col min="8" max="8" width="7.140625" style="7" hidden="1" customWidth="1"/>
    <col min="9" max="9" width="9.140625" style="5" customWidth="1"/>
    <col min="10" max="10" width="10.57421875" style="5" customWidth="1"/>
    <col min="11" max="11" width="13.8515625" style="6" bestFit="1" customWidth="1"/>
    <col min="12" max="16384" width="9.140625" style="5" customWidth="1"/>
  </cols>
  <sheetData>
    <row r="1" spans="1:8" ht="18.75" thickBot="1">
      <c r="A1" s="260" t="s">
        <v>39</v>
      </c>
      <c r="B1" s="261"/>
      <c r="C1" s="261"/>
      <c r="D1" s="261"/>
      <c r="E1" s="261"/>
      <c r="F1" s="261"/>
      <c r="G1" s="262"/>
      <c r="H1" s="63"/>
    </row>
    <row r="2" spans="1:8" s="9" customFormat="1" ht="15" customHeight="1">
      <c r="A2" s="258" t="s">
        <v>0</v>
      </c>
      <c r="B2" s="272" t="s">
        <v>28</v>
      </c>
      <c r="C2" s="273"/>
      <c r="D2" s="268" t="s">
        <v>25</v>
      </c>
      <c r="E2" s="270" t="s">
        <v>26</v>
      </c>
      <c r="F2" s="264" t="s">
        <v>41</v>
      </c>
      <c r="G2" s="274" t="s">
        <v>40</v>
      </c>
      <c r="H2" s="266" t="s">
        <v>22</v>
      </c>
    </row>
    <row r="3" spans="1:11" ht="15.75" customHeight="1" thickBot="1">
      <c r="A3" s="259"/>
      <c r="B3" s="158" t="s">
        <v>14</v>
      </c>
      <c r="C3" s="192" t="s">
        <v>15</v>
      </c>
      <c r="D3" s="269"/>
      <c r="E3" s="271"/>
      <c r="F3" s="265"/>
      <c r="G3" s="275"/>
      <c r="H3" s="267"/>
      <c r="K3" s="5"/>
    </row>
    <row r="4" spans="1:11" ht="15">
      <c r="A4" s="25">
        <v>2014</v>
      </c>
      <c r="B4" s="193">
        <f>'ATT 2 - VMT and VHT Estimates'!G10*0.9</f>
        <v>0</v>
      </c>
      <c r="C4" s="194">
        <f>'ATT 2 - VMT and VHT Estimates'!G10*0.1</f>
        <v>0</v>
      </c>
      <c r="D4" s="163">
        <f>'ATT 1 - Costs per Hour and Mile'!$B$7</f>
        <v>14.278000000000002</v>
      </c>
      <c r="E4" s="164">
        <f>'ATT 1 - Costs per Hour and Mile'!$E$7</f>
        <v>28.064897260273973</v>
      </c>
      <c r="F4" s="173">
        <f>B4*D4+C4*E4</f>
        <v>0</v>
      </c>
      <c r="G4" s="30">
        <f>F4*365</f>
        <v>0</v>
      </c>
      <c r="H4" s="2">
        <f>F4*(1+'Total Benefit Cost'!$B$5)^(A4-$A$4)</f>
        <v>0</v>
      </c>
      <c r="K4" s="5"/>
    </row>
    <row r="5" spans="1:11" ht="15">
      <c r="A5" s="26">
        <v>2015</v>
      </c>
      <c r="B5" s="195">
        <f>'ATT 2 - VMT and VHT Estimates'!G11*0.9</f>
        <v>0</v>
      </c>
      <c r="C5" s="196">
        <f>'ATT 2 - VMT and VHT Estimates'!G11*0.1</f>
        <v>0</v>
      </c>
      <c r="D5" s="176">
        <f>'ATT 1 - Costs per Hour and Mile'!$B$7</f>
        <v>14.278000000000002</v>
      </c>
      <c r="E5" s="177">
        <f>'ATT 1 - Costs per Hour and Mile'!$E$7</f>
        <v>28.064897260273973</v>
      </c>
      <c r="F5" s="174">
        <f aca="true" t="shared" si="0" ref="F5:F28">B5*D5+C5*E5</f>
        <v>0</v>
      </c>
      <c r="G5" s="28">
        <f aca="true" t="shared" si="1" ref="G5:G28">F5*365</f>
        <v>0</v>
      </c>
      <c r="H5" s="2"/>
      <c r="K5" s="5"/>
    </row>
    <row r="6" spans="1:11" ht="15">
      <c r="A6" s="26">
        <v>2016</v>
      </c>
      <c r="B6" s="195">
        <f>'ATT 2 - VMT and VHT Estimates'!G12*0.9</f>
        <v>0</v>
      </c>
      <c r="C6" s="196">
        <f>'ATT 2 - VMT and VHT Estimates'!G12*0.1</f>
        <v>0</v>
      </c>
      <c r="D6" s="176">
        <f>'ATT 1 - Costs per Hour and Mile'!$B$7</f>
        <v>14.278000000000002</v>
      </c>
      <c r="E6" s="177">
        <f>'ATT 1 - Costs per Hour and Mile'!$E$7</f>
        <v>28.064897260273973</v>
      </c>
      <c r="F6" s="174">
        <f t="shared" si="0"/>
        <v>0</v>
      </c>
      <c r="G6" s="28">
        <f t="shared" si="1"/>
        <v>0</v>
      </c>
      <c r="H6" s="2"/>
      <c r="K6" s="5"/>
    </row>
    <row r="7" spans="1:11" ht="15">
      <c r="A7" s="26">
        <v>2017</v>
      </c>
      <c r="B7" s="195">
        <f>'ATT 2 - VMT and VHT Estimates'!G13*0.9</f>
        <v>0</v>
      </c>
      <c r="C7" s="196">
        <f>'ATT 2 - VMT and VHT Estimates'!G13*0.1</f>
        <v>0</v>
      </c>
      <c r="D7" s="176">
        <f>'ATT 1 - Costs per Hour and Mile'!$B$7</f>
        <v>14.278000000000002</v>
      </c>
      <c r="E7" s="177">
        <f>'ATT 1 - Costs per Hour and Mile'!$E$7</f>
        <v>28.064897260273973</v>
      </c>
      <c r="F7" s="174">
        <f t="shared" si="0"/>
        <v>0</v>
      </c>
      <c r="G7" s="28">
        <f t="shared" si="1"/>
        <v>0</v>
      </c>
      <c r="H7" s="2"/>
      <c r="K7" s="5"/>
    </row>
    <row r="8" spans="1:11" ht="15">
      <c r="A8" s="26">
        <v>2018</v>
      </c>
      <c r="B8" s="195">
        <f>'ATT 2 - VMT and VHT Estimates'!G14*0.9</f>
        <v>0</v>
      </c>
      <c r="C8" s="196">
        <f>'ATT 2 - VMT and VHT Estimates'!G14*0.1</f>
        <v>0</v>
      </c>
      <c r="D8" s="176">
        <f>'ATT 1 - Costs per Hour and Mile'!$B$7</f>
        <v>14.278000000000002</v>
      </c>
      <c r="E8" s="177">
        <f>'ATT 1 - Costs per Hour and Mile'!$E$7</f>
        <v>28.064897260273973</v>
      </c>
      <c r="F8" s="174">
        <f t="shared" si="0"/>
        <v>0</v>
      </c>
      <c r="G8" s="28">
        <f t="shared" si="1"/>
        <v>0</v>
      </c>
      <c r="H8" s="2"/>
      <c r="K8" s="5"/>
    </row>
    <row r="9" spans="1:11" ht="15">
      <c r="A9" s="26">
        <v>2019</v>
      </c>
      <c r="B9" s="195">
        <f>'ATT 2 - VMT and VHT Estimates'!G15</f>
        <v>819.9500000001863</v>
      </c>
      <c r="C9" s="196">
        <v>0</v>
      </c>
      <c r="D9" s="176">
        <f>'ATT 1 - Costs per Hour and Mile'!$B$7</f>
        <v>14.278000000000002</v>
      </c>
      <c r="E9" s="177">
        <f>'ATT 1 - Costs per Hour and Mile'!$E$7</f>
        <v>28.064897260273973</v>
      </c>
      <c r="F9" s="174">
        <f t="shared" si="0"/>
        <v>11707.246100002661</v>
      </c>
      <c r="G9" s="28">
        <f t="shared" si="1"/>
        <v>4273144.826500972</v>
      </c>
      <c r="H9" s="2"/>
      <c r="K9" s="5"/>
    </row>
    <row r="10" spans="1:11" ht="15">
      <c r="A10" s="26">
        <v>2020</v>
      </c>
      <c r="B10" s="195">
        <f>'ATT 2 - VMT and VHT Estimates'!G16</f>
        <v>746.5</v>
      </c>
      <c r="C10" s="196">
        <v>0</v>
      </c>
      <c r="D10" s="176">
        <f>'ATT 1 - Costs per Hour and Mile'!$B$7</f>
        <v>14.278000000000002</v>
      </c>
      <c r="E10" s="177">
        <f>'ATT 1 - Costs per Hour and Mile'!$E$7</f>
        <v>28.064897260273973</v>
      </c>
      <c r="F10" s="174">
        <f t="shared" si="0"/>
        <v>10658.527000000002</v>
      </c>
      <c r="G10" s="28">
        <f t="shared" si="1"/>
        <v>3890362.3550000004</v>
      </c>
      <c r="H10" s="2">
        <f>F10*(1+'Total Benefit Cost'!$B$5)^(A10-$A$4)</f>
        <v>10658.527000000002</v>
      </c>
      <c r="J10" s="23"/>
      <c r="K10" s="5"/>
    </row>
    <row r="11" spans="1:11" ht="15">
      <c r="A11" s="26">
        <v>2021</v>
      </c>
      <c r="B11" s="195">
        <f>'ATT 2 - VMT and VHT Estimates'!G17</f>
        <v>673.0499999998137</v>
      </c>
      <c r="C11" s="196">
        <v>0</v>
      </c>
      <c r="D11" s="176">
        <f>'ATT 1 - Costs per Hour and Mile'!$B$7</f>
        <v>14.278000000000002</v>
      </c>
      <c r="E11" s="177">
        <f>'ATT 1 - Costs per Hour and Mile'!$E$7</f>
        <v>28.064897260273973</v>
      </c>
      <c r="F11" s="174">
        <f t="shared" si="0"/>
        <v>9609.807899997342</v>
      </c>
      <c r="G11" s="28">
        <f t="shared" si="1"/>
        <v>3507579.88349903</v>
      </c>
      <c r="H11" s="2">
        <f>F11*(1+'Total Benefit Cost'!$B$5)^(A11-$A$4)</f>
        <v>9609.807899997342</v>
      </c>
      <c r="K11" s="5"/>
    </row>
    <row r="12" spans="1:11" ht="15">
      <c r="A12" s="26">
        <v>2022</v>
      </c>
      <c r="B12" s="195">
        <f>'ATT 2 - VMT and VHT Estimates'!G18</f>
        <v>599.5999999996275</v>
      </c>
      <c r="C12" s="196">
        <v>0</v>
      </c>
      <c r="D12" s="176">
        <f>'ATT 1 - Costs per Hour and Mile'!$B$7</f>
        <v>14.278000000000002</v>
      </c>
      <c r="E12" s="177">
        <f>'ATT 1 - Costs per Hour and Mile'!$E$7</f>
        <v>28.064897260273973</v>
      </c>
      <c r="F12" s="174">
        <f t="shared" si="0"/>
        <v>8561.088799994683</v>
      </c>
      <c r="G12" s="28">
        <f t="shared" si="1"/>
        <v>3124797.411998059</v>
      </c>
      <c r="H12" s="2">
        <f>F12*(1+'Total Benefit Cost'!$B$5)^(A12-$A$4)</f>
        <v>8561.088799994683</v>
      </c>
      <c r="K12" s="5"/>
    </row>
    <row r="13" spans="1:11" ht="15">
      <c r="A13" s="26">
        <v>2023</v>
      </c>
      <c r="B13" s="195">
        <f>'ATT 2 - VMT and VHT Estimates'!G19</f>
        <v>526.1499999999069</v>
      </c>
      <c r="C13" s="196">
        <v>0</v>
      </c>
      <c r="D13" s="176">
        <f>'ATT 1 - Costs per Hour and Mile'!$B$7</f>
        <v>14.278000000000002</v>
      </c>
      <c r="E13" s="177">
        <f>'ATT 1 - Costs per Hour and Mile'!$E$7</f>
        <v>28.064897260273973</v>
      </c>
      <c r="F13" s="174">
        <f t="shared" si="0"/>
        <v>7512.369699998671</v>
      </c>
      <c r="G13" s="28">
        <f t="shared" si="1"/>
        <v>2742014.9404995153</v>
      </c>
      <c r="H13" s="2">
        <f>F13*(1+'Total Benefit Cost'!$B$5)^(A13-$A$4)</f>
        <v>7512.369699998671</v>
      </c>
      <c r="K13" s="5"/>
    </row>
    <row r="14" spans="1:11" ht="15">
      <c r="A14" s="26">
        <v>2024</v>
      </c>
      <c r="B14" s="195">
        <f>'ATT 2 - VMT and VHT Estimates'!G20</f>
        <v>452.70000000018626</v>
      </c>
      <c r="C14" s="196">
        <v>0</v>
      </c>
      <c r="D14" s="176">
        <f>'ATT 1 - Costs per Hour and Mile'!$B$7</f>
        <v>14.278000000000002</v>
      </c>
      <c r="E14" s="177">
        <f>'ATT 1 - Costs per Hour and Mile'!$E$7</f>
        <v>28.064897260273973</v>
      </c>
      <c r="F14" s="174">
        <f t="shared" si="0"/>
        <v>6463.65060000266</v>
      </c>
      <c r="G14" s="28">
        <f t="shared" si="1"/>
        <v>2359232.469000971</v>
      </c>
      <c r="H14" s="2">
        <f>F14*(1+'Total Benefit Cost'!$B$5)^(A14-$A$4)</f>
        <v>6463.65060000266</v>
      </c>
      <c r="K14" s="5"/>
    </row>
    <row r="15" spans="1:11" ht="15">
      <c r="A15" s="26">
        <v>2025</v>
      </c>
      <c r="B15" s="195">
        <f>'ATT 2 - VMT and VHT Estimates'!G21</f>
        <v>379.25</v>
      </c>
      <c r="C15" s="196">
        <v>0</v>
      </c>
      <c r="D15" s="176">
        <f>'ATT 1 - Costs per Hour and Mile'!$B$7</f>
        <v>14.278000000000002</v>
      </c>
      <c r="E15" s="177">
        <f>'ATT 1 - Costs per Hour and Mile'!$E$7</f>
        <v>28.064897260273973</v>
      </c>
      <c r="F15" s="174">
        <f t="shared" si="0"/>
        <v>5414.931500000001</v>
      </c>
      <c r="G15" s="28">
        <f t="shared" si="1"/>
        <v>1976449.9975000003</v>
      </c>
      <c r="H15" s="2">
        <f>F15*(1+'Total Benefit Cost'!$B$5)^(A15-$A$4)</f>
        <v>5414.931500000001</v>
      </c>
      <c r="K15" s="5"/>
    </row>
    <row r="16" spans="1:11" ht="15">
      <c r="A16" s="26">
        <v>2026</v>
      </c>
      <c r="B16" s="195">
        <f>'ATT 2 - VMT and VHT Estimates'!G22</f>
        <v>305.79999999981374</v>
      </c>
      <c r="C16" s="196">
        <v>0</v>
      </c>
      <c r="D16" s="176">
        <f>'ATT 1 - Costs per Hour and Mile'!$B$7</f>
        <v>14.278000000000002</v>
      </c>
      <c r="E16" s="177">
        <f>'ATT 1 - Costs per Hour and Mile'!$E$7</f>
        <v>28.064897260273973</v>
      </c>
      <c r="F16" s="174">
        <f t="shared" si="0"/>
        <v>4366.212399997341</v>
      </c>
      <c r="G16" s="28">
        <f t="shared" si="1"/>
        <v>1593667.5259990294</v>
      </c>
      <c r="H16" s="2">
        <f>F16*(1+'Total Benefit Cost'!$B$5)^(A16-$A$4)</f>
        <v>4366.212399997341</v>
      </c>
      <c r="K16" s="5"/>
    </row>
    <row r="17" spans="1:11" ht="15">
      <c r="A17" s="26">
        <v>2027</v>
      </c>
      <c r="B17" s="195">
        <f>'ATT 2 - VMT and VHT Estimates'!G23</f>
        <v>232.34999999962747</v>
      </c>
      <c r="C17" s="196">
        <v>0</v>
      </c>
      <c r="D17" s="176">
        <f>'ATT 1 - Costs per Hour and Mile'!$B$7</f>
        <v>14.278000000000002</v>
      </c>
      <c r="E17" s="177">
        <f>'ATT 1 - Costs per Hour and Mile'!$E$7</f>
        <v>28.064897260273973</v>
      </c>
      <c r="F17" s="174">
        <f t="shared" si="0"/>
        <v>3317.4932999946814</v>
      </c>
      <c r="G17" s="28">
        <f t="shared" si="1"/>
        <v>1210885.0544980587</v>
      </c>
      <c r="H17" s="2">
        <f>F17*(1+'Total Benefit Cost'!$B$5)^(A17-$A$4)</f>
        <v>3317.4932999946814</v>
      </c>
      <c r="K17" s="5"/>
    </row>
    <row r="18" spans="1:11" ht="15">
      <c r="A18" s="26">
        <v>2028</v>
      </c>
      <c r="B18" s="195">
        <f>'ATT 2 - VMT and VHT Estimates'!G24</f>
        <v>158.89999999990687</v>
      </c>
      <c r="C18" s="196">
        <v>0</v>
      </c>
      <c r="D18" s="176">
        <f>'ATT 1 - Costs per Hour and Mile'!$B$7</f>
        <v>14.278000000000002</v>
      </c>
      <c r="E18" s="177">
        <f>'ATT 1 - Costs per Hour and Mile'!$E$7</f>
        <v>28.064897260273973</v>
      </c>
      <c r="F18" s="174">
        <f t="shared" si="0"/>
        <v>2268.7741999986706</v>
      </c>
      <c r="G18" s="28">
        <f t="shared" si="1"/>
        <v>828102.5829995148</v>
      </c>
      <c r="H18" s="2">
        <f>F18*(1+'Total Benefit Cost'!$B$5)^(A18-$A$4)</f>
        <v>2268.7741999986706</v>
      </c>
      <c r="K18" s="5"/>
    </row>
    <row r="19" spans="1:11" ht="15">
      <c r="A19" s="26">
        <v>2029</v>
      </c>
      <c r="B19" s="195">
        <f>'ATT 2 - VMT and VHT Estimates'!G25</f>
        <v>85.45000000018626</v>
      </c>
      <c r="C19" s="196">
        <v>0</v>
      </c>
      <c r="D19" s="176">
        <f>'ATT 1 - Costs per Hour and Mile'!$B$7</f>
        <v>14.278000000000002</v>
      </c>
      <c r="E19" s="177">
        <f>'ATT 1 - Costs per Hour and Mile'!$E$7</f>
        <v>28.064897260273973</v>
      </c>
      <c r="F19" s="174">
        <f t="shared" si="0"/>
        <v>1220.0551000026596</v>
      </c>
      <c r="G19" s="28">
        <f t="shared" si="1"/>
        <v>445320.1115009708</v>
      </c>
      <c r="H19" s="2">
        <f>F19*(1+'Total Benefit Cost'!$B$5)^(A19-$A$4)</f>
        <v>1220.0551000026596</v>
      </c>
      <c r="K19" s="5"/>
    </row>
    <row r="20" spans="1:11" ht="15">
      <c r="A20" s="26">
        <v>2030</v>
      </c>
      <c r="B20" s="195">
        <f>'ATT 2 - VMT and VHT Estimates'!G26</f>
        <v>12</v>
      </c>
      <c r="C20" s="196">
        <v>0</v>
      </c>
      <c r="D20" s="176">
        <f>'ATT 1 - Costs per Hour and Mile'!$B$7</f>
        <v>14.278000000000002</v>
      </c>
      <c r="E20" s="177">
        <f>'ATT 1 - Costs per Hour and Mile'!$E$7</f>
        <v>28.064897260273973</v>
      </c>
      <c r="F20" s="174">
        <f t="shared" si="0"/>
        <v>171.336</v>
      </c>
      <c r="G20" s="28">
        <f t="shared" si="1"/>
        <v>62537.64000000001</v>
      </c>
      <c r="H20" s="2">
        <f>F20*(1+'Total Benefit Cost'!$B$5)^(A20-$A$4)</f>
        <v>171.336</v>
      </c>
      <c r="K20" s="5"/>
    </row>
    <row r="21" spans="1:11" ht="15">
      <c r="A21" s="26">
        <v>2031</v>
      </c>
      <c r="B21" s="195">
        <f>'ATT 2 - VMT and VHT Estimates'!G27</f>
        <v>-61.450000000186265</v>
      </c>
      <c r="C21" s="196">
        <v>0</v>
      </c>
      <c r="D21" s="176">
        <f>'ATT 1 - Costs per Hour and Mile'!$B$7</f>
        <v>14.278000000000002</v>
      </c>
      <c r="E21" s="177">
        <f>'ATT 1 - Costs per Hour and Mile'!$E$7</f>
        <v>28.064897260273973</v>
      </c>
      <c r="F21" s="174">
        <f t="shared" si="0"/>
        <v>-877.3831000026596</v>
      </c>
      <c r="G21" s="28">
        <f t="shared" si="1"/>
        <v>-320244.83150097076</v>
      </c>
      <c r="H21" s="2">
        <f>F21*(1+'Total Benefit Cost'!$B$5)^(A21-$A$4)</f>
        <v>-877.3831000026596</v>
      </c>
      <c r="K21" s="5"/>
    </row>
    <row r="22" spans="1:11" ht="15">
      <c r="A22" s="26">
        <v>2032</v>
      </c>
      <c r="B22" s="195">
        <f>'ATT 2 - VMT and VHT Estimates'!G28</f>
        <v>-134.90000000037253</v>
      </c>
      <c r="C22" s="196">
        <v>0</v>
      </c>
      <c r="D22" s="176">
        <f>'ATT 1 - Costs per Hour and Mile'!$B$7</f>
        <v>14.278000000000002</v>
      </c>
      <c r="E22" s="177">
        <f>'ATT 1 - Costs per Hour and Mile'!$E$7</f>
        <v>28.064897260273973</v>
      </c>
      <c r="F22" s="174">
        <f t="shared" si="0"/>
        <v>-1926.1022000053192</v>
      </c>
      <c r="G22" s="28">
        <f t="shared" si="1"/>
        <v>-703027.3030019415</v>
      </c>
      <c r="H22" s="2">
        <f>F22*(1+'Total Benefit Cost'!$B$5)^(A22-$A$4)</f>
        <v>-1926.1022000053192</v>
      </c>
      <c r="K22" s="5"/>
    </row>
    <row r="23" spans="1:11" ht="15">
      <c r="A23" s="26">
        <v>2033</v>
      </c>
      <c r="B23" s="195">
        <f>'ATT 2 - VMT and VHT Estimates'!G29</f>
        <v>-208.35000000009313</v>
      </c>
      <c r="C23" s="196">
        <v>0</v>
      </c>
      <c r="D23" s="176">
        <f>'ATT 1 - Costs per Hour and Mile'!$B$7</f>
        <v>14.278000000000002</v>
      </c>
      <c r="E23" s="177">
        <f>'ATT 1 - Costs per Hour and Mile'!$E$7</f>
        <v>28.064897260273973</v>
      </c>
      <c r="F23" s="174">
        <f t="shared" si="0"/>
        <v>-2974.82130000133</v>
      </c>
      <c r="G23" s="28">
        <f t="shared" si="1"/>
        <v>-1085809.7745004855</v>
      </c>
      <c r="H23" s="2">
        <f>F23*(1+'Total Benefit Cost'!$B$5)^(A23-$A$4)</f>
        <v>-2974.82130000133</v>
      </c>
      <c r="K23" s="5"/>
    </row>
    <row r="24" spans="1:11" ht="15">
      <c r="A24" s="26">
        <v>2034</v>
      </c>
      <c r="B24" s="195">
        <f>'ATT 2 - VMT and VHT Estimates'!G30</f>
        <v>-281.79999999981374</v>
      </c>
      <c r="C24" s="196">
        <v>0</v>
      </c>
      <c r="D24" s="176">
        <f>'ATT 1 - Costs per Hour and Mile'!$B$7</f>
        <v>14.278000000000002</v>
      </c>
      <c r="E24" s="177">
        <f>'ATT 1 - Costs per Hour and Mile'!$E$7</f>
        <v>28.064897260273973</v>
      </c>
      <c r="F24" s="174">
        <f t="shared" si="0"/>
        <v>-4023.540399997341</v>
      </c>
      <c r="G24" s="28">
        <f t="shared" si="1"/>
        <v>-1468592.2459990294</v>
      </c>
      <c r="H24" s="2">
        <f>F24*(1+'Total Benefit Cost'!$B$5)^(A24-$A$4)</f>
        <v>-4023.540399997341</v>
      </c>
      <c r="K24" s="5"/>
    </row>
    <row r="25" spans="1:11" ht="15">
      <c r="A25" s="26">
        <v>2035</v>
      </c>
      <c r="B25" s="195">
        <f>'ATT 2 - VMT and VHT Estimates'!G31</f>
        <v>-355.25</v>
      </c>
      <c r="C25" s="196">
        <v>0</v>
      </c>
      <c r="D25" s="176">
        <f>'ATT 1 - Costs per Hour and Mile'!$B$7</f>
        <v>14.278000000000002</v>
      </c>
      <c r="E25" s="177">
        <f>'ATT 1 - Costs per Hour and Mile'!$E$7</f>
        <v>28.064897260273973</v>
      </c>
      <c r="F25" s="174">
        <f t="shared" si="0"/>
        <v>-5072.259500000001</v>
      </c>
      <c r="G25" s="28">
        <f t="shared" si="1"/>
        <v>-1851374.7175000003</v>
      </c>
      <c r="H25" s="2">
        <f>F25*(1+'Total Benefit Cost'!$B$5)^(A25-$A$4)</f>
        <v>-5072.259500000001</v>
      </c>
      <c r="K25" s="5"/>
    </row>
    <row r="26" spans="1:11" ht="15">
      <c r="A26" s="26">
        <v>2036</v>
      </c>
      <c r="B26" s="195">
        <f>'ATT 2 - VMT and VHT Estimates'!G32</f>
        <v>-428.70000000018626</v>
      </c>
      <c r="C26" s="196">
        <v>0</v>
      </c>
      <c r="D26" s="176">
        <f>'ATT 1 - Costs per Hour and Mile'!$B$7</f>
        <v>14.278000000000002</v>
      </c>
      <c r="E26" s="177">
        <f>'ATT 1 - Costs per Hour and Mile'!$E$7</f>
        <v>28.064897260273973</v>
      </c>
      <c r="F26" s="174">
        <f t="shared" si="0"/>
        <v>-6120.978600002661</v>
      </c>
      <c r="G26" s="28">
        <f t="shared" si="1"/>
        <v>-2234157.189000971</v>
      </c>
      <c r="H26" s="2">
        <f>F26*(1+'Total Benefit Cost'!$B$5)^(A26-$A$4)</f>
        <v>-6120.978600002661</v>
      </c>
      <c r="K26" s="5"/>
    </row>
    <row r="27" spans="1:11" ht="15">
      <c r="A27" s="26">
        <v>2037</v>
      </c>
      <c r="B27" s="195">
        <f>'ATT 2 - VMT and VHT Estimates'!G33</f>
        <v>-502.15000000037253</v>
      </c>
      <c r="C27" s="196">
        <v>0</v>
      </c>
      <c r="D27" s="176">
        <f>'ATT 1 - Costs per Hour and Mile'!$B$7</f>
        <v>14.278000000000002</v>
      </c>
      <c r="E27" s="177">
        <f>'ATT 1 - Costs per Hour and Mile'!$E$7</f>
        <v>28.064897260273973</v>
      </c>
      <c r="F27" s="174">
        <f t="shared" si="0"/>
        <v>-7169.69770000532</v>
      </c>
      <c r="G27" s="28">
        <f t="shared" si="1"/>
        <v>-2616939.660501942</v>
      </c>
      <c r="H27" s="2">
        <f>F27*(1+'Total Benefit Cost'!$B$5)^(A27-$A$4)</f>
        <v>-7169.69770000532</v>
      </c>
      <c r="K27" s="5"/>
    </row>
    <row r="28" spans="1:11" ht="15.75" thickBot="1">
      <c r="A28" s="27">
        <v>2038</v>
      </c>
      <c r="B28" s="197">
        <f>'ATT 2 - VMT and VHT Estimates'!G34</f>
        <v>-575.6000000000931</v>
      </c>
      <c r="C28" s="198">
        <v>0</v>
      </c>
      <c r="D28" s="178">
        <f>'ATT 1 - Costs per Hour and Mile'!$B$7</f>
        <v>14.278000000000002</v>
      </c>
      <c r="E28" s="179">
        <f>'ATT 1 - Costs per Hour and Mile'!$E$7</f>
        <v>28.064897260273973</v>
      </c>
      <c r="F28" s="175">
        <f t="shared" si="0"/>
        <v>-8218.41680000133</v>
      </c>
      <c r="G28" s="29">
        <f t="shared" si="1"/>
        <v>-2999722.1320004854</v>
      </c>
      <c r="H28" s="2">
        <f>F28*(1+'Total Benefit Cost'!$B$5)^(A28-$A$4)</f>
        <v>-8218.41680000133</v>
      </c>
      <c r="K28" s="5"/>
    </row>
    <row r="29" spans="1:7" ht="12.75">
      <c r="A29" s="263" t="s">
        <v>117</v>
      </c>
      <c r="B29" s="263"/>
      <c r="C29" s="263"/>
      <c r="D29" s="263"/>
      <c r="E29" s="263"/>
      <c r="F29" s="263"/>
      <c r="G29" s="263"/>
    </row>
  </sheetData>
  <sheetProtection/>
  <mergeCells count="9">
    <mergeCell ref="A2:A3"/>
    <mergeCell ref="A1:G1"/>
    <mergeCell ref="A29:G29"/>
    <mergeCell ref="F2:F3"/>
    <mergeCell ref="H2:H3"/>
    <mergeCell ref="D2:D3"/>
    <mergeCell ref="E2:E3"/>
    <mergeCell ref="B2:C2"/>
    <mergeCell ref="G2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9.140625" style="5" customWidth="1"/>
    <col min="2" max="3" width="8.8515625" style="5" customWidth="1"/>
    <col min="4" max="4" width="10.7109375" style="10" customWidth="1"/>
    <col min="5" max="5" width="12.00390625" style="8" customWidth="1"/>
    <col min="6" max="6" width="16.00390625" style="7" customWidth="1"/>
    <col min="7" max="7" width="16.57421875" style="7" customWidth="1"/>
    <col min="8" max="8" width="17.57421875" style="7" hidden="1" customWidth="1"/>
    <col min="9" max="9" width="9.140625" style="5" customWidth="1"/>
    <col min="10" max="10" width="10.57421875" style="5" customWidth="1"/>
    <col min="11" max="11" width="13.8515625" style="6" bestFit="1" customWidth="1"/>
    <col min="12" max="16384" width="9.140625" style="5" customWidth="1"/>
  </cols>
  <sheetData>
    <row r="1" spans="1:8" ht="18.75" thickBot="1">
      <c r="A1" s="260" t="s">
        <v>38</v>
      </c>
      <c r="B1" s="261"/>
      <c r="C1" s="261"/>
      <c r="D1" s="261"/>
      <c r="E1" s="261"/>
      <c r="F1" s="261"/>
      <c r="G1" s="262"/>
      <c r="H1" s="63"/>
    </row>
    <row r="2" spans="1:8" s="9" customFormat="1" ht="15" customHeight="1">
      <c r="A2" s="276" t="s">
        <v>0</v>
      </c>
      <c r="B2" s="278" t="s">
        <v>33</v>
      </c>
      <c r="C2" s="279"/>
      <c r="D2" s="268" t="s">
        <v>17</v>
      </c>
      <c r="E2" s="270" t="s">
        <v>16</v>
      </c>
      <c r="F2" s="280" t="s">
        <v>29</v>
      </c>
      <c r="G2" s="281" t="s">
        <v>30</v>
      </c>
      <c r="H2" s="266" t="s">
        <v>22</v>
      </c>
    </row>
    <row r="3" spans="1:11" ht="15" customHeight="1" thickBot="1">
      <c r="A3" s="277"/>
      <c r="B3" s="57" t="s">
        <v>14</v>
      </c>
      <c r="C3" s="171" t="s">
        <v>15</v>
      </c>
      <c r="D3" s="269"/>
      <c r="E3" s="271"/>
      <c r="F3" s="265"/>
      <c r="G3" s="275"/>
      <c r="H3" s="267"/>
      <c r="K3" s="5"/>
    </row>
    <row r="4" spans="1:11" ht="15">
      <c r="A4" s="31">
        <v>2014</v>
      </c>
      <c r="B4" s="24">
        <f>'ATT 2 - VMT and VHT Estimates'!D10</f>
        <v>0</v>
      </c>
      <c r="C4" s="172">
        <v>0</v>
      </c>
      <c r="D4" s="163">
        <f>'ATT 1 - Costs per Hour and Mile'!$B$24</f>
        <v>0.39847660792619155</v>
      </c>
      <c r="E4" s="164">
        <f>'ATT 1 - Costs per Hour and Mile'!$E$24</f>
        <v>0.9414229371126224</v>
      </c>
      <c r="F4" s="173">
        <f>B4*D4+C4*E4</f>
        <v>0</v>
      </c>
      <c r="G4" s="30">
        <f>F4*365</f>
        <v>0</v>
      </c>
      <c r="H4" s="2">
        <f>F4*(1+'Total Benefit Cost'!$B$5)^(A4-$A$4)</f>
        <v>0</v>
      </c>
      <c r="K4" s="5"/>
    </row>
    <row r="5" spans="1:11" ht="15">
      <c r="A5" s="32">
        <v>2015</v>
      </c>
      <c r="B5" s="188">
        <f>'ATT 2 - VMT and VHT Estimates'!D11</f>
        <v>0</v>
      </c>
      <c r="C5" s="189">
        <v>0</v>
      </c>
      <c r="D5" s="176">
        <f>'ATT 1 - Costs per Hour and Mile'!$B$24</f>
        <v>0.39847660792619155</v>
      </c>
      <c r="E5" s="177">
        <f>'ATT 1 - Costs per Hour and Mile'!$E$24</f>
        <v>0.9414229371126224</v>
      </c>
      <c r="F5" s="174">
        <f aca="true" t="shared" si="0" ref="F5:F28">B5*D5+C5*E5</f>
        <v>0</v>
      </c>
      <c r="G5" s="28">
        <f aca="true" t="shared" si="1" ref="G5:G28">F5*365</f>
        <v>0</v>
      </c>
      <c r="H5" s="2"/>
      <c r="K5" s="5"/>
    </row>
    <row r="6" spans="1:11" ht="15">
      <c r="A6" s="32">
        <v>2016</v>
      </c>
      <c r="B6" s="188">
        <f>'ATT 2 - VMT and VHT Estimates'!D12</f>
        <v>0</v>
      </c>
      <c r="C6" s="189">
        <v>0</v>
      </c>
      <c r="D6" s="176">
        <f>'ATT 1 - Costs per Hour and Mile'!$B$24</f>
        <v>0.39847660792619155</v>
      </c>
      <c r="E6" s="177">
        <f>'ATT 1 - Costs per Hour and Mile'!$E$24</f>
        <v>0.9414229371126224</v>
      </c>
      <c r="F6" s="174">
        <f t="shared" si="0"/>
        <v>0</v>
      </c>
      <c r="G6" s="28">
        <f t="shared" si="1"/>
        <v>0</v>
      </c>
      <c r="H6" s="2"/>
      <c r="K6" s="5"/>
    </row>
    <row r="7" spans="1:11" ht="15">
      <c r="A7" s="32">
        <v>2017</v>
      </c>
      <c r="B7" s="188">
        <f>'ATT 2 - VMT and VHT Estimates'!D13</f>
        <v>0</v>
      </c>
      <c r="C7" s="189">
        <v>0</v>
      </c>
      <c r="D7" s="176">
        <f>'ATT 1 - Costs per Hour and Mile'!$B$24</f>
        <v>0.39847660792619155</v>
      </c>
      <c r="E7" s="177">
        <f>'ATT 1 - Costs per Hour and Mile'!$E$24</f>
        <v>0.9414229371126224</v>
      </c>
      <c r="F7" s="174">
        <f t="shared" si="0"/>
        <v>0</v>
      </c>
      <c r="G7" s="28">
        <f t="shared" si="1"/>
        <v>0</v>
      </c>
      <c r="H7" s="2"/>
      <c r="K7" s="5"/>
    </row>
    <row r="8" spans="1:11" ht="15">
      <c r="A8" s="32">
        <v>2018</v>
      </c>
      <c r="B8" s="188">
        <f>'ATT 2 - VMT and VHT Estimates'!D14</f>
        <v>0</v>
      </c>
      <c r="C8" s="189">
        <v>0</v>
      </c>
      <c r="D8" s="176">
        <f>'ATT 1 - Costs per Hour and Mile'!$B$24</f>
        <v>0.39847660792619155</v>
      </c>
      <c r="E8" s="177">
        <f>'ATT 1 - Costs per Hour and Mile'!$E$24</f>
        <v>0.9414229371126224</v>
      </c>
      <c r="F8" s="174">
        <f t="shared" si="0"/>
        <v>0</v>
      </c>
      <c r="G8" s="28">
        <f t="shared" si="1"/>
        <v>0</v>
      </c>
      <c r="H8" s="2"/>
      <c r="K8" s="5"/>
    </row>
    <row r="9" spans="1:11" ht="15">
      <c r="A9" s="32">
        <v>2019</v>
      </c>
      <c r="B9" s="188">
        <f>'ATT 2 - VMT and VHT Estimates'!D15</f>
        <v>44009.34999999404</v>
      </c>
      <c r="C9" s="189">
        <v>0</v>
      </c>
      <c r="D9" s="176">
        <f>'ATT 1 - Costs per Hour and Mile'!$B$24</f>
        <v>0.39847660792619155</v>
      </c>
      <c r="E9" s="177">
        <f>'ATT 1 - Costs per Hour and Mile'!$E$24</f>
        <v>0.9414229371126224</v>
      </c>
      <c r="F9" s="174">
        <f t="shared" si="0"/>
        <v>17536.696505034164</v>
      </c>
      <c r="G9" s="28">
        <f t="shared" si="1"/>
        <v>6400894.22433747</v>
      </c>
      <c r="H9" s="2"/>
      <c r="K9" s="5"/>
    </row>
    <row r="10" spans="1:11" ht="15">
      <c r="A10" s="32">
        <v>2020</v>
      </c>
      <c r="B10" s="188">
        <f>'ATT 2 - VMT and VHT Estimates'!D16</f>
        <v>40756.5</v>
      </c>
      <c r="C10" s="189">
        <v>0</v>
      </c>
      <c r="D10" s="176">
        <f>'ATT 1 - Costs per Hour and Mile'!$B$24</f>
        <v>0.39847660792619155</v>
      </c>
      <c r="E10" s="177">
        <f>'ATT 1 - Costs per Hour and Mile'!$E$24</f>
        <v>0.9414229371126224</v>
      </c>
      <c r="F10" s="174">
        <f t="shared" si="0"/>
        <v>16240.511870943827</v>
      </c>
      <c r="G10" s="28">
        <f t="shared" si="1"/>
        <v>5927786.832894497</v>
      </c>
      <c r="H10" s="2">
        <f>F10*(1+'Total Benefit Cost'!$B$5)^(A10-$A$4)</f>
        <v>16240.511870943827</v>
      </c>
      <c r="K10" s="5"/>
    </row>
    <row r="11" spans="1:11" ht="15">
      <c r="A11" s="32">
        <v>2021</v>
      </c>
      <c r="B11" s="188">
        <f>'ATT 2 - VMT and VHT Estimates'!D17</f>
        <v>37503.65000000596</v>
      </c>
      <c r="C11" s="189">
        <v>0</v>
      </c>
      <c r="D11" s="176">
        <f>'ATT 1 - Costs per Hour and Mile'!$B$24</f>
        <v>0.39847660792619155</v>
      </c>
      <c r="E11" s="177">
        <f>'ATT 1 - Costs per Hour and Mile'!$E$24</f>
        <v>0.9414229371126224</v>
      </c>
      <c r="F11" s="174">
        <f t="shared" si="0"/>
        <v>14944.327236853489</v>
      </c>
      <c r="G11" s="28">
        <f t="shared" si="1"/>
        <v>5454679.441451523</v>
      </c>
      <c r="H11" s="2">
        <f>F11*(1+'Total Benefit Cost'!$B$5)^(A11-$A$4)</f>
        <v>14944.327236853489</v>
      </c>
      <c r="K11" s="5"/>
    </row>
    <row r="12" spans="1:11" ht="15">
      <c r="A12" s="32">
        <v>2022</v>
      </c>
      <c r="B12" s="188">
        <f>'ATT 2 - VMT and VHT Estimates'!D18</f>
        <v>34250.80000001192</v>
      </c>
      <c r="C12" s="189">
        <v>0</v>
      </c>
      <c r="D12" s="176">
        <f>'ATT 1 - Costs per Hour and Mile'!$B$24</f>
        <v>0.39847660792619155</v>
      </c>
      <c r="E12" s="177">
        <f>'ATT 1 - Costs per Hour and Mile'!$E$24</f>
        <v>0.9414229371126224</v>
      </c>
      <c r="F12" s="174">
        <f t="shared" si="0"/>
        <v>13648.142602763151</v>
      </c>
      <c r="G12" s="28">
        <f t="shared" si="1"/>
        <v>4981572.05000855</v>
      </c>
      <c r="H12" s="2">
        <f>F12*(1+'Total Benefit Cost'!$B$5)^(A12-$A$4)</f>
        <v>13648.142602763151</v>
      </c>
      <c r="K12" s="5"/>
    </row>
    <row r="13" spans="1:11" ht="15">
      <c r="A13" s="32">
        <v>2023</v>
      </c>
      <c r="B13" s="188">
        <f>'ATT 2 - VMT and VHT Estimates'!D19</f>
        <v>30997.95000000298</v>
      </c>
      <c r="C13" s="189">
        <v>0</v>
      </c>
      <c r="D13" s="176">
        <f>'ATT 1 - Costs per Hour and Mile'!$B$24</f>
        <v>0.39847660792619155</v>
      </c>
      <c r="E13" s="177">
        <f>'ATT 1 - Costs per Hour and Mile'!$E$24</f>
        <v>0.9414229371126224</v>
      </c>
      <c r="F13" s="174">
        <f t="shared" si="0"/>
        <v>12351.957968666877</v>
      </c>
      <c r="G13" s="28">
        <f t="shared" si="1"/>
        <v>4508464.65856341</v>
      </c>
      <c r="H13" s="2">
        <f>F13*(1+'Total Benefit Cost'!$B$5)^(A13-$A$4)</f>
        <v>12351.957968666877</v>
      </c>
      <c r="K13" s="5"/>
    </row>
    <row r="14" spans="1:11" ht="15">
      <c r="A14" s="32">
        <v>2024</v>
      </c>
      <c r="B14" s="188">
        <f>'ATT 2 - VMT and VHT Estimates'!D20</f>
        <v>27745.09999999404</v>
      </c>
      <c r="C14" s="189">
        <v>0</v>
      </c>
      <c r="D14" s="176">
        <f>'ATT 1 - Costs per Hour and Mile'!$B$24</f>
        <v>0.39847660792619155</v>
      </c>
      <c r="E14" s="177">
        <f>'ATT 1 - Costs per Hour and Mile'!$E$24</f>
        <v>0.9414229371126224</v>
      </c>
      <c r="F14" s="174">
        <f t="shared" si="0"/>
        <v>11055.773334570602</v>
      </c>
      <c r="G14" s="28">
        <f t="shared" si="1"/>
        <v>4035357.2671182696</v>
      </c>
      <c r="H14" s="2">
        <f>F14*(1+'Total Benefit Cost'!$B$5)^(A14-$A$4)</f>
        <v>11055.773334570602</v>
      </c>
      <c r="K14" s="5"/>
    </row>
    <row r="15" spans="1:11" ht="15">
      <c r="A15" s="32">
        <v>2025</v>
      </c>
      <c r="B15" s="188">
        <f>'ATT 2 - VMT and VHT Estimates'!D21</f>
        <v>24492.25</v>
      </c>
      <c r="C15" s="189">
        <v>0</v>
      </c>
      <c r="D15" s="176">
        <f>'ATT 1 - Costs per Hour and Mile'!$B$24</f>
        <v>0.39847660792619155</v>
      </c>
      <c r="E15" s="177">
        <f>'ATT 1 - Costs per Hour and Mile'!$E$24</f>
        <v>0.9414229371126224</v>
      </c>
      <c r="F15" s="174">
        <f t="shared" si="0"/>
        <v>9759.588700480264</v>
      </c>
      <c r="G15" s="28">
        <f t="shared" si="1"/>
        <v>3562249.8756752964</v>
      </c>
      <c r="H15" s="2">
        <f>F15*(1+'Total Benefit Cost'!$B$5)^(A15-$A$4)</f>
        <v>9759.588700480264</v>
      </c>
      <c r="K15" s="5"/>
    </row>
    <row r="16" spans="1:11" ht="15">
      <c r="A16" s="32">
        <v>2026</v>
      </c>
      <c r="B16" s="188">
        <f>'ATT 2 - VMT and VHT Estimates'!D22</f>
        <v>21239.40000000596</v>
      </c>
      <c r="C16" s="189">
        <v>0</v>
      </c>
      <c r="D16" s="176">
        <f>'ATT 1 - Costs per Hour and Mile'!$B$24</f>
        <v>0.39847660792619155</v>
      </c>
      <c r="E16" s="177">
        <f>'ATT 1 - Costs per Hour and Mile'!$E$24</f>
        <v>0.9414229371126224</v>
      </c>
      <c r="F16" s="174">
        <f t="shared" si="0"/>
        <v>8463.404066389929</v>
      </c>
      <c r="G16" s="28">
        <f t="shared" si="1"/>
        <v>3089142.484232324</v>
      </c>
      <c r="H16" s="2">
        <f>F16*(1+'Total Benefit Cost'!$B$5)^(A16-$A$4)</f>
        <v>8463.404066389929</v>
      </c>
      <c r="K16" s="5"/>
    </row>
    <row r="17" spans="1:11" ht="15">
      <c r="A17" s="32">
        <v>2027</v>
      </c>
      <c r="B17" s="188">
        <f>'ATT 2 - VMT and VHT Estimates'!D23</f>
        <v>17986.55000001192</v>
      </c>
      <c r="C17" s="189">
        <v>0</v>
      </c>
      <c r="D17" s="176">
        <f>'ATT 1 - Costs per Hour and Mile'!$B$24</f>
        <v>0.39847660792619155</v>
      </c>
      <c r="E17" s="177">
        <f>'ATT 1 - Costs per Hour and Mile'!$E$24</f>
        <v>0.9414229371126224</v>
      </c>
      <c r="F17" s="174">
        <f t="shared" si="0"/>
        <v>7167.219432299591</v>
      </c>
      <c r="G17" s="28">
        <f t="shared" si="1"/>
        <v>2616035.0927893505</v>
      </c>
      <c r="H17" s="2">
        <f>F17*(1+'Total Benefit Cost'!$B$5)^(A17-$A$4)</f>
        <v>7167.219432299591</v>
      </c>
      <c r="K17" s="5"/>
    </row>
    <row r="18" spans="1:11" ht="15">
      <c r="A18" s="32">
        <v>2028</v>
      </c>
      <c r="B18" s="188">
        <f>'ATT 2 - VMT and VHT Estimates'!D24</f>
        <v>14733.70000000298</v>
      </c>
      <c r="C18" s="189">
        <v>0</v>
      </c>
      <c r="D18" s="176">
        <f>'ATT 1 - Costs per Hour and Mile'!$B$24</f>
        <v>0.39847660792619155</v>
      </c>
      <c r="E18" s="177">
        <f>'ATT 1 - Costs per Hour and Mile'!$E$24</f>
        <v>0.9414229371126224</v>
      </c>
      <c r="F18" s="174">
        <f t="shared" si="0"/>
        <v>5871.034798203316</v>
      </c>
      <c r="G18" s="28">
        <f t="shared" si="1"/>
        <v>2142927.7013442107</v>
      </c>
      <c r="H18" s="2">
        <f>F18*(1+'Total Benefit Cost'!$B$5)^(A18-$A$4)</f>
        <v>5871.034798203316</v>
      </c>
      <c r="K18" s="5"/>
    </row>
    <row r="19" spans="1:11" ht="15">
      <c r="A19" s="32">
        <v>2029</v>
      </c>
      <c r="B19" s="188">
        <f>'ATT 2 - VMT and VHT Estimates'!D25</f>
        <v>11480.84999999404</v>
      </c>
      <c r="C19" s="189">
        <v>0</v>
      </c>
      <c r="D19" s="176">
        <f>'ATT 1 - Costs per Hour and Mile'!$B$24</f>
        <v>0.39847660792619155</v>
      </c>
      <c r="E19" s="177">
        <f>'ATT 1 - Costs per Hour and Mile'!$E$24</f>
        <v>0.9414229371126224</v>
      </c>
      <c r="F19" s="174">
        <f t="shared" si="0"/>
        <v>4574.850164107042</v>
      </c>
      <c r="G19" s="28">
        <f t="shared" si="1"/>
        <v>1669820.30989907</v>
      </c>
      <c r="H19" s="2">
        <f>F19*(1+'Total Benefit Cost'!$B$5)^(A19-$A$4)</f>
        <v>4574.850164107042</v>
      </c>
      <c r="K19" s="5"/>
    </row>
    <row r="20" spans="1:11" ht="15">
      <c r="A20" s="32">
        <v>2030</v>
      </c>
      <c r="B20" s="188">
        <f>'ATT 2 - VMT and VHT Estimates'!D26</f>
        <v>8228</v>
      </c>
      <c r="C20" s="189">
        <v>0</v>
      </c>
      <c r="D20" s="176">
        <f>'ATT 1 - Costs per Hour and Mile'!$B$24</f>
        <v>0.39847660792619155</v>
      </c>
      <c r="E20" s="177">
        <f>'ATT 1 - Costs per Hour and Mile'!$E$24</f>
        <v>0.9414229371126224</v>
      </c>
      <c r="F20" s="174">
        <f t="shared" si="0"/>
        <v>3278.665530016704</v>
      </c>
      <c r="G20" s="28">
        <f t="shared" si="1"/>
        <v>1196712.918456097</v>
      </c>
      <c r="H20" s="2">
        <f>F20*(1+'Total Benefit Cost'!$B$5)^(A20-$A$4)</f>
        <v>3278.665530016704</v>
      </c>
      <c r="K20" s="5"/>
    </row>
    <row r="21" spans="1:11" ht="15">
      <c r="A21" s="32">
        <v>2031</v>
      </c>
      <c r="B21" s="188">
        <f>'ATT 2 - VMT and VHT Estimates'!D27</f>
        <v>4975.1500000059605</v>
      </c>
      <c r="C21" s="189">
        <v>0</v>
      </c>
      <c r="D21" s="176">
        <f>'ATT 1 - Costs per Hour and Mile'!$B$24</f>
        <v>0.39847660792619155</v>
      </c>
      <c r="E21" s="177">
        <f>'ATT 1 - Costs per Hour and Mile'!$E$24</f>
        <v>0.9414229371126224</v>
      </c>
      <c r="F21" s="174">
        <f t="shared" si="0"/>
        <v>1982.480895926367</v>
      </c>
      <c r="G21" s="28">
        <f t="shared" si="1"/>
        <v>723605.527013124</v>
      </c>
      <c r="H21" s="2">
        <f>F21*(1+'Total Benefit Cost'!$B$5)^(A21-$A$4)</f>
        <v>1982.480895926367</v>
      </c>
      <c r="K21" s="5"/>
    </row>
    <row r="22" spans="1:11" ht="15">
      <c r="A22" s="32">
        <v>2032</v>
      </c>
      <c r="B22" s="188">
        <f>'ATT 2 - VMT and VHT Estimates'!D28</f>
        <v>1722.300000011921</v>
      </c>
      <c r="C22" s="189">
        <v>0</v>
      </c>
      <c r="D22" s="176">
        <f>'ATT 1 - Costs per Hour and Mile'!$B$24</f>
        <v>0.39847660792619155</v>
      </c>
      <c r="E22" s="177">
        <f>'ATT 1 - Costs per Hour and Mile'!$E$24</f>
        <v>0.9414229371126224</v>
      </c>
      <c r="F22" s="174">
        <f t="shared" si="0"/>
        <v>686.2962618360299</v>
      </c>
      <c r="G22" s="28">
        <f t="shared" si="1"/>
        <v>250498.13557015092</v>
      </c>
      <c r="H22" s="2">
        <f>F22*(1+'Total Benefit Cost'!$B$5)^(A22-$A$4)</f>
        <v>686.2962618360299</v>
      </c>
      <c r="K22" s="5"/>
    </row>
    <row r="23" spans="1:11" ht="15">
      <c r="A23" s="32">
        <v>2033</v>
      </c>
      <c r="B23" s="188">
        <f>'ATT 2 - VMT and VHT Estimates'!D29</f>
        <v>-1530.5499999970198</v>
      </c>
      <c r="C23" s="189">
        <v>0</v>
      </c>
      <c r="D23" s="176">
        <f>'ATT 1 - Costs per Hour and Mile'!$B$24</f>
        <v>0.39847660792619155</v>
      </c>
      <c r="E23" s="177">
        <f>'ATT 1 - Costs per Hour and Mile'!$E$24</f>
        <v>0.9414229371126224</v>
      </c>
      <c r="F23" s="174">
        <f t="shared" si="0"/>
        <v>-609.888372260245</v>
      </c>
      <c r="G23" s="28">
        <f t="shared" si="1"/>
        <v>-222609.2558749894</v>
      </c>
      <c r="H23" s="2">
        <f>F23*(1+'Total Benefit Cost'!$B$5)^(A23-$A$4)</f>
        <v>-609.888372260245</v>
      </c>
      <c r="K23" s="5"/>
    </row>
    <row r="24" spans="1:11" ht="15">
      <c r="A24" s="32">
        <v>2034</v>
      </c>
      <c r="B24" s="188">
        <f>'ATT 2 - VMT and VHT Estimates'!D30</f>
        <v>-4783.4000000059605</v>
      </c>
      <c r="C24" s="189">
        <v>0</v>
      </c>
      <c r="D24" s="176">
        <f>'ATT 1 - Costs per Hour and Mile'!$B$24</f>
        <v>0.39847660792619155</v>
      </c>
      <c r="E24" s="177">
        <f>'ATT 1 - Costs per Hour and Mile'!$E$24</f>
        <v>0.9414229371126224</v>
      </c>
      <c r="F24" s="174">
        <f t="shared" si="0"/>
        <v>-1906.0730063565197</v>
      </c>
      <c r="G24" s="28">
        <f t="shared" si="1"/>
        <v>-695716.6473201297</v>
      </c>
      <c r="H24" s="2">
        <f>F24*(1+'Total Benefit Cost'!$B$5)^(A24-$A$4)</f>
        <v>-1906.0730063565197</v>
      </c>
      <c r="K24" s="5"/>
    </row>
    <row r="25" spans="1:11" ht="15">
      <c r="A25" s="32">
        <v>2035</v>
      </c>
      <c r="B25" s="188">
        <f>'ATT 2 - VMT and VHT Estimates'!D31</f>
        <v>-8036.25</v>
      </c>
      <c r="C25" s="189">
        <v>0</v>
      </c>
      <c r="D25" s="176">
        <f>'ATT 1 - Costs per Hour and Mile'!$B$24</f>
        <v>0.39847660792619155</v>
      </c>
      <c r="E25" s="177">
        <f>'ATT 1 - Costs per Hour and Mile'!$E$24</f>
        <v>0.9414229371126224</v>
      </c>
      <c r="F25" s="174">
        <f t="shared" si="0"/>
        <v>-3202.257640446857</v>
      </c>
      <c r="G25" s="28">
        <f t="shared" si="1"/>
        <v>-1168824.0387631028</v>
      </c>
      <c r="H25" s="2">
        <f>F25*(1+'Total Benefit Cost'!$B$5)^(A25-$A$4)</f>
        <v>-3202.257640446857</v>
      </c>
      <c r="K25" s="5"/>
    </row>
    <row r="26" spans="1:11" ht="15">
      <c r="A26" s="32">
        <v>2036</v>
      </c>
      <c r="B26" s="188">
        <f>'ATT 2 - VMT and VHT Estimates'!D32</f>
        <v>-11289.09999999404</v>
      </c>
      <c r="C26" s="189">
        <v>0</v>
      </c>
      <c r="D26" s="176">
        <f>'ATT 1 - Costs per Hour and Mile'!$B$24</f>
        <v>0.39847660792619155</v>
      </c>
      <c r="E26" s="177">
        <f>'ATT 1 - Costs per Hour and Mile'!$E$24</f>
        <v>0.9414229371126224</v>
      </c>
      <c r="F26" s="174">
        <f t="shared" si="0"/>
        <v>-4498.442274537194</v>
      </c>
      <c r="G26" s="28">
        <f t="shared" si="1"/>
        <v>-1641931.4302060758</v>
      </c>
      <c r="H26" s="2">
        <f>F26*(1+'Total Benefit Cost'!$B$5)^(A26-$A$4)</f>
        <v>-4498.442274537194</v>
      </c>
      <c r="K26" s="5"/>
    </row>
    <row r="27" spans="1:11" ht="15">
      <c r="A27" s="32">
        <v>2037</v>
      </c>
      <c r="B27" s="188">
        <f>'ATT 2 - VMT and VHT Estimates'!D33</f>
        <v>-14541.949999988079</v>
      </c>
      <c r="C27" s="189">
        <v>0</v>
      </c>
      <c r="D27" s="176">
        <f>'ATT 1 - Costs per Hour and Mile'!$B$24</f>
        <v>0.39847660792619155</v>
      </c>
      <c r="E27" s="177">
        <f>'ATT 1 - Costs per Hour and Mile'!$E$24</f>
        <v>0.9414229371126224</v>
      </c>
      <c r="F27" s="174">
        <f t="shared" si="0"/>
        <v>-5794.626908627531</v>
      </c>
      <c r="G27" s="28">
        <f t="shared" si="1"/>
        <v>-2115038.8216490485</v>
      </c>
      <c r="H27" s="2">
        <f>F27*(1+'Total Benefit Cost'!$B$5)^(A27-$A$4)</f>
        <v>-5794.626908627531</v>
      </c>
      <c r="K27" s="5"/>
    </row>
    <row r="28" spans="1:11" ht="15.75" thickBot="1">
      <c r="A28" s="33">
        <v>2038</v>
      </c>
      <c r="B28" s="190">
        <f>'ATT 2 - VMT and VHT Estimates'!D34</f>
        <v>-17794.79999999702</v>
      </c>
      <c r="C28" s="191">
        <v>0</v>
      </c>
      <c r="D28" s="178">
        <f>'ATT 1 - Costs per Hour and Mile'!$B$24</f>
        <v>0.39847660792619155</v>
      </c>
      <c r="E28" s="179">
        <f>'ATT 1 - Costs per Hour and Mile'!$E$24</f>
        <v>0.9414229371126224</v>
      </c>
      <c r="F28" s="175">
        <f t="shared" si="0"/>
        <v>-7090.811542723806</v>
      </c>
      <c r="G28" s="29">
        <f t="shared" si="1"/>
        <v>-2588146.2130941893</v>
      </c>
      <c r="H28" s="2">
        <f>F28*(1+'Total Benefit Cost'!$B$5)^(A28-$A$4)</f>
        <v>-7090.811542723806</v>
      </c>
      <c r="K28" s="5"/>
    </row>
    <row r="29" spans="1:7" ht="12.75">
      <c r="A29" s="263" t="s">
        <v>118</v>
      </c>
      <c r="B29" s="263"/>
      <c r="C29" s="263"/>
      <c r="D29" s="263"/>
      <c r="E29" s="263"/>
      <c r="F29" s="263"/>
      <c r="G29" s="263"/>
    </row>
  </sheetData>
  <sheetProtection/>
  <mergeCells count="9">
    <mergeCell ref="H2:H3"/>
    <mergeCell ref="A2:A3"/>
    <mergeCell ref="A1:G1"/>
    <mergeCell ref="A29:G29"/>
    <mergeCell ref="B2:C2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G28" sqref="A1:G28"/>
    </sheetView>
  </sheetViews>
  <sheetFormatPr defaultColWidth="9.140625" defaultRowHeight="15"/>
  <cols>
    <col min="1" max="1" width="9.140625" style="5" customWidth="1"/>
    <col min="2" max="2" width="10.28125" style="5" bestFit="1" customWidth="1"/>
    <col min="3" max="3" width="13.421875" style="5" bestFit="1" customWidth="1"/>
    <col min="4" max="4" width="10.7109375" style="10" customWidth="1"/>
    <col min="5" max="5" width="12.7109375" style="8" customWidth="1"/>
    <col min="6" max="6" width="16.00390625" style="7" customWidth="1"/>
    <col min="7" max="7" width="16.57421875" style="7" customWidth="1"/>
    <col min="8" max="8" width="7.140625" style="7" hidden="1" customWidth="1"/>
    <col min="9" max="9" width="9.140625" style="5" customWidth="1"/>
    <col min="10" max="10" width="10.57421875" style="5" customWidth="1"/>
    <col min="11" max="11" width="13.8515625" style="6" bestFit="1" customWidth="1"/>
    <col min="12" max="16384" width="9.140625" style="5" customWidth="1"/>
  </cols>
  <sheetData>
    <row r="1" spans="1:8" ht="18.75" thickBot="1">
      <c r="A1" s="260" t="s">
        <v>37</v>
      </c>
      <c r="B1" s="282"/>
      <c r="C1" s="282"/>
      <c r="D1" s="261"/>
      <c r="E1" s="261"/>
      <c r="F1" s="261"/>
      <c r="G1" s="262"/>
      <c r="H1" s="63"/>
    </row>
    <row r="2" spans="1:8" s="9" customFormat="1" ht="15" customHeight="1">
      <c r="A2" s="283" t="s">
        <v>0</v>
      </c>
      <c r="B2" s="156" t="s">
        <v>106</v>
      </c>
      <c r="C2" s="157" t="s">
        <v>107</v>
      </c>
      <c r="D2" s="268" t="s">
        <v>109</v>
      </c>
      <c r="E2" s="270" t="s">
        <v>108</v>
      </c>
      <c r="F2" s="285" t="s">
        <v>41</v>
      </c>
      <c r="G2" s="274" t="s">
        <v>40</v>
      </c>
      <c r="H2" s="266" t="s">
        <v>22</v>
      </c>
    </row>
    <row r="3" spans="1:11" ht="15.75" customHeight="1" thickBot="1">
      <c r="A3" s="284"/>
      <c r="B3" s="158" t="s">
        <v>110</v>
      </c>
      <c r="C3" s="159" t="s">
        <v>110</v>
      </c>
      <c r="D3" s="269"/>
      <c r="E3" s="271"/>
      <c r="F3" s="286"/>
      <c r="G3" s="275"/>
      <c r="H3" s="267"/>
      <c r="K3" s="5"/>
    </row>
    <row r="4" spans="1:11" ht="15">
      <c r="A4" s="25">
        <v>2014</v>
      </c>
      <c r="B4" s="167">
        <f>'ATT 2 - VMT and VHT Estimates'!B10</f>
        <v>2304183.399999991</v>
      </c>
      <c r="C4" s="168">
        <f>'ATT 2 - VMT and VHT Estimates'!C10</f>
        <v>2304183.399999991</v>
      </c>
      <c r="D4" s="163">
        <f>'ATT 1 - Costs per Hour and Mile'!$B$34</f>
        <v>0.37063877344000007</v>
      </c>
      <c r="E4" s="164">
        <f>'ATT 1 - Costs per Hour and Mile'!$C$34</f>
        <v>0.37063877344000007</v>
      </c>
      <c r="F4" s="160">
        <f>C4*E4-B4*D4</f>
        <v>0</v>
      </c>
      <c r="G4" s="30">
        <f>F4*365</f>
        <v>0</v>
      </c>
      <c r="H4" s="2">
        <f>F4*(1+'Total Benefit Cost'!$B$5)^(A4-$A$4)</f>
        <v>0</v>
      </c>
      <c r="K4" s="5"/>
    </row>
    <row r="5" spans="1:11" ht="15">
      <c r="A5" s="26">
        <v>2015</v>
      </c>
      <c r="B5" s="167">
        <f>'ATT 2 - VMT and VHT Estimates'!B11</f>
        <v>2346755.75</v>
      </c>
      <c r="C5" s="168">
        <f>'ATT 2 - VMT and VHT Estimates'!C11</f>
        <v>2346755.75</v>
      </c>
      <c r="D5" s="163">
        <f>'ATT 1 - Costs per Hour and Mile'!$B$34</f>
        <v>0.37063877344000007</v>
      </c>
      <c r="E5" s="164">
        <f>'ATT 1 - Costs per Hour and Mile'!$C$34</f>
        <v>0.37063877344000007</v>
      </c>
      <c r="F5" s="161">
        <f aca="true" t="shared" si="0" ref="F5:F28">C5*E5-B5*D5</f>
        <v>0</v>
      </c>
      <c r="G5" s="28">
        <f aca="true" t="shared" si="1" ref="G5:G28">F5*365</f>
        <v>0</v>
      </c>
      <c r="H5" s="2"/>
      <c r="K5" s="5"/>
    </row>
    <row r="6" spans="1:11" ht="15">
      <c r="A6" s="26">
        <v>2016</v>
      </c>
      <c r="B6" s="167">
        <f>'ATT 2 - VMT and VHT Estimates'!B12</f>
        <v>2389328.099999994</v>
      </c>
      <c r="C6" s="168">
        <f>'ATT 2 - VMT and VHT Estimates'!C12</f>
        <v>2389328.099999994</v>
      </c>
      <c r="D6" s="163">
        <f>'ATT 1 - Costs per Hour and Mile'!$B$34</f>
        <v>0.37063877344000007</v>
      </c>
      <c r="E6" s="164">
        <f>'ATT 1 - Costs per Hour and Mile'!$C$34</f>
        <v>0.37063877344000007</v>
      </c>
      <c r="F6" s="161">
        <f t="shared" si="0"/>
        <v>0</v>
      </c>
      <c r="G6" s="28">
        <f t="shared" si="1"/>
        <v>0</v>
      </c>
      <c r="H6" s="2"/>
      <c r="K6" s="5"/>
    </row>
    <row r="7" spans="1:11" ht="15">
      <c r="A7" s="26">
        <v>2017</v>
      </c>
      <c r="B7" s="167">
        <f>'ATT 2 - VMT and VHT Estimates'!B13</f>
        <v>2431900.450000003</v>
      </c>
      <c r="C7" s="168">
        <f>'ATT 2 - VMT and VHT Estimates'!C13</f>
        <v>2431900.450000003</v>
      </c>
      <c r="D7" s="163">
        <f>'ATT 1 - Costs per Hour and Mile'!$B$34</f>
        <v>0.37063877344000007</v>
      </c>
      <c r="E7" s="164">
        <f>'ATT 1 - Costs per Hour and Mile'!$C$34</f>
        <v>0.37063877344000007</v>
      </c>
      <c r="F7" s="161">
        <f t="shared" si="0"/>
        <v>0</v>
      </c>
      <c r="G7" s="28">
        <f t="shared" si="1"/>
        <v>0</v>
      </c>
      <c r="H7" s="2"/>
      <c r="K7" s="5"/>
    </row>
    <row r="8" spans="1:11" ht="15">
      <c r="A8" s="26">
        <v>2018</v>
      </c>
      <c r="B8" s="167">
        <f>'ATT 2 - VMT and VHT Estimates'!B14</f>
        <v>2474472.799999997</v>
      </c>
      <c r="C8" s="168">
        <f>'ATT 2 - VMT and VHT Estimates'!C14</f>
        <v>2474472.799999997</v>
      </c>
      <c r="D8" s="163">
        <f>'ATT 1 - Costs per Hour and Mile'!$B$34</f>
        <v>0.37063877344000007</v>
      </c>
      <c r="E8" s="164">
        <f>'ATT 1 - Costs per Hour and Mile'!$C$34</f>
        <v>0.37063877344000007</v>
      </c>
      <c r="F8" s="161">
        <f t="shared" si="0"/>
        <v>0</v>
      </c>
      <c r="G8" s="28">
        <f t="shared" si="1"/>
        <v>0</v>
      </c>
      <c r="H8" s="2"/>
      <c r="K8" s="5"/>
    </row>
    <row r="9" spans="1:11" ht="15">
      <c r="A9" s="26">
        <v>2019</v>
      </c>
      <c r="B9" s="167">
        <f>'ATT 2 - VMT and VHT Estimates'!B15</f>
        <v>2473035.799999997</v>
      </c>
      <c r="C9" s="168">
        <f>'ATT 2 - VMT and VHT Estimates'!C15</f>
        <v>2517045.149999991</v>
      </c>
      <c r="D9" s="163">
        <f>'ATT 1 - Costs per Hour and Mile'!$B$34</f>
        <v>0.37063877344000007</v>
      </c>
      <c r="E9" s="164">
        <f>'ATT 1 - Costs per Hour and Mile'!$C$34</f>
        <v>0.37063877344000007</v>
      </c>
      <c r="F9" s="161">
        <f t="shared" si="0"/>
        <v>16311.571503889398</v>
      </c>
      <c r="G9" s="28">
        <f t="shared" si="1"/>
        <v>5953723.59891963</v>
      </c>
      <c r="H9" s="2"/>
      <c r="K9" s="5"/>
    </row>
    <row r="10" spans="1:11" ht="15">
      <c r="A10" s="26">
        <v>2020</v>
      </c>
      <c r="B10" s="167">
        <f>'ATT 2 - VMT and VHT Estimates'!B16</f>
        <v>2518861</v>
      </c>
      <c r="C10" s="168">
        <f>'ATT 2 - VMT and VHT Estimates'!C16</f>
        <v>2559617.5</v>
      </c>
      <c r="D10" s="163">
        <f>'ATT 1 - Costs per Hour and Mile'!$B$34</f>
        <v>0.37063877344000007</v>
      </c>
      <c r="E10" s="164">
        <f>'ATT 1 - Costs per Hour and Mile'!$C$34</f>
        <v>0.37063877344000007</v>
      </c>
      <c r="F10" s="161">
        <f t="shared" si="0"/>
        <v>15105.939169707359</v>
      </c>
      <c r="G10" s="28">
        <f t="shared" si="1"/>
        <v>5513667.796943186</v>
      </c>
      <c r="H10" s="2">
        <f>F10*(1+'Total Benefit Cost'!$B$5)^(A10-$A$4)</f>
        <v>15105.939169707359</v>
      </c>
      <c r="J10" s="23"/>
      <c r="K10" s="5"/>
    </row>
    <row r="11" spans="1:11" ht="15">
      <c r="A11" s="26">
        <v>2021</v>
      </c>
      <c r="B11" s="167">
        <f>'ATT 2 - VMT and VHT Estimates'!B17</f>
        <v>2564686.199999988</v>
      </c>
      <c r="C11" s="168">
        <f>'ATT 2 - VMT and VHT Estimates'!C17</f>
        <v>2602189.849999994</v>
      </c>
      <c r="D11" s="163">
        <f>'ATT 1 - Costs per Hour and Mile'!$B$34</f>
        <v>0.37063877344000007</v>
      </c>
      <c r="E11" s="164">
        <f>'ATT 1 - Costs per Hour and Mile'!$C$34</f>
        <v>0.37063877344000007</v>
      </c>
      <c r="F11" s="161">
        <f t="shared" si="0"/>
        <v>13900.306835525203</v>
      </c>
      <c r="G11" s="28">
        <f t="shared" si="1"/>
        <v>5073611.994966699</v>
      </c>
      <c r="H11" s="2">
        <f>F11*(1+'Total Benefit Cost'!$B$5)^(A11-$A$4)</f>
        <v>13900.306835525203</v>
      </c>
      <c r="K11" s="5"/>
    </row>
    <row r="12" spans="1:11" ht="15">
      <c r="A12" s="26">
        <v>2022</v>
      </c>
      <c r="B12" s="167">
        <f>'ATT 2 - VMT and VHT Estimates'!B18</f>
        <v>2610511.399999991</v>
      </c>
      <c r="C12" s="168">
        <f>'ATT 2 - VMT and VHT Estimates'!C18</f>
        <v>2644762.200000003</v>
      </c>
      <c r="D12" s="163">
        <f>'ATT 1 - Costs per Hour and Mile'!$B$34</f>
        <v>0.37063877344000007</v>
      </c>
      <c r="E12" s="164">
        <f>'ATT 1 - Costs per Hour and Mile'!$C$34</f>
        <v>0.37063877344000007</v>
      </c>
      <c r="F12" s="161">
        <f t="shared" si="0"/>
        <v>12694.674501343165</v>
      </c>
      <c r="G12" s="28">
        <f t="shared" si="1"/>
        <v>4633556.192990255</v>
      </c>
      <c r="H12" s="2">
        <f>F12*(1+'Total Benefit Cost'!$B$5)^(A12-$A$4)</f>
        <v>12694.674501343165</v>
      </c>
      <c r="K12" s="5"/>
    </row>
    <row r="13" spans="1:11" ht="15">
      <c r="A13" s="26">
        <v>2023</v>
      </c>
      <c r="B13" s="167">
        <f>'ATT 2 - VMT and VHT Estimates'!B19</f>
        <v>2656336.599999994</v>
      </c>
      <c r="C13" s="168">
        <f>'ATT 2 - VMT and VHT Estimates'!C19</f>
        <v>2687334.549999997</v>
      </c>
      <c r="D13" s="163">
        <f>'ATT 1 - Costs per Hour and Mile'!$B$34</f>
        <v>0.37063877344000007</v>
      </c>
      <c r="E13" s="164">
        <f>'ATT 1 - Costs per Hour and Mile'!$C$34</f>
        <v>0.37063877344000007</v>
      </c>
      <c r="F13" s="161">
        <f t="shared" si="0"/>
        <v>11489.042167155538</v>
      </c>
      <c r="G13" s="28">
        <f t="shared" si="1"/>
        <v>4193500.3910117713</v>
      </c>
      <c r="H13" s="2">
        <f>F13*(1+'Total Benefit Cost'!$B$5)^(A13-$A$4)</f>
        <v>11489.042167155538</v>
      </c>
      <c r="K13" s="5"/>
    </row>
    <row r="14" spans="1:11" ht="15">
      <c r="A14" s="26">
        <v>2024</v>
      </c>
      <c r="B14" s="167">
        <f>'ATT 2 - VMT and VHT Estimates'!B20</f>
        <v>2702161.799999997</v>
      </c>
      <c r="C14" s="168">
        <f>'ATT 2 - VMT and VHT Estimates'!C20</f>
        <v>2729906.899999991</v>
      </c>
      <c r="D14" s="163">
        <f>'ATT 1 - Costs per Hour and Mile'!$B$34</f>
        <v>0.37063877344000007</v>
      </c>
      <c r="E14" s="164">
        <f>'ATT 1 - Costs per Hour and Mile'!$C$34</f>
        <v>0.37063877344000007</v>
      </c>
      <c r="F14" s="161">
        <f t="shared" si="0"/>
        <v>10283.409832968027</v>
      </c>
      <c r="G14" s="28">
        <f t="shared" si="1"/>
        <v>3753444.58903333</v>
      </c>
      <c r="H14" s="2">
        <f>F14*(1+'Total Benefit Cost'!$B$5)^(A14-$A$4)</f>
        <v>10283.409832968027</v>
      </c>
      <c r="K14" s="5"/>
    </row>
    <row r="15" spans="1:11" ht="15">
      <c r="A15" s="26">
        <v>2025</v>
      </c>
      <c r="B15" s="167">
        <f>'ATT 2 - VMT and VHT Estimates'!B21</f>
        <v>2747987</v>
      </c>
      <c r="C15" s="168">
        <f>'ATT 2 - VMT and VHT Estimates'!C21</f>
        <v>2772479.25</v>
      </c>
      <c r="D15" s="163">
        <f>'ATT 1 - Costs per Hour and Mile'!$B$34</f>
        <v>0.37063877344000007</v>
      </c>
      <c r="E15" s="164">
        <f>'ATT 1 - Costs per Hour and Mile'!$C$34</f>
        <v>0.37063877344000007</v>
      </c>
      <c r="F15" s="161">
        <f t="shared" si="0"/>
        <v>9077.777498785756</v>
      </c>
      <c r="G15" s="28">
        <f t="shared" si="1"/>
        <v>3313388.787056801</v>
      </c>
      <c r="H15" s="2">
        <f>F15*(1+'Total Benefit Cost'!$B$5)^(A15-$A$4)</f>
        <v>9077.777498785756</v>
      </c>
      <c r="K15" s="5"/>
    </row>
    <row r="16" spans="1:11" ht="15">
      <c r="A16" s="26">
        <v>2026</v>
      </c>
      <c r="B16" s="167">
        <f>'ATT 2 - VMT and VHT Estimates'!B22</f>
        <v>2793812.199999988</v>
      </c>
      <c r="C16" s="168">
        <f>'ATT 2 - VMT and VHT Estimates'!C22</f>
        <v>2815051.599999994</v>
      </c>
      <c r="D16" s="163">
        <f>'ATT 1 - Costs per Hour and Mile'!$B$34</f>
        <v>0.37063877344000007</v>
      </c>
      <c r="E16" s="164">
        <f>'ATT 1 - Costs per Hour and Mile'!$C$34</f>
        <v>0.37063877344000007</v>
      </c>
      <c r="F16" s="161">
        <f t="shared" si="0"/>
        <v>7872.145164603833</v>
      </c>
      <c r="G16" s="28">
        <f t="shared" si="1"/>
        <v>2873332.985080399</v>
      </c>
      <c r="H16" s="2">
        <f>F16*(1+'Total Benefit Cost'!$B$5)^(A16-$A$4)</f>
        <v>7872.145164603833</v>
      </c>
      <c r="K16" s="5"/>
    </row>
    <row r="17" spans="1:11" ht="15">
      <c r="A17" s="26">
        <v>2027</v>
      </c>
      <c r="B17" s="167">
        <f>'ATT 2 - VMT and VHT Estimates'!B23</f>
        <v>2839637.399999991</v>
      </c>
      <c r="C17" s="168">
        <f>'ATT 2 - VMT and VHT Estimates'!C23</f>
        <v>2857623.950000003</v>
      </c>
      <c r="D17" s="163">
        <f>'ATT 1 - Costs per Hour and Mile'!$B$34</f>
        <v>0.37063877344000007</v>
      </c>
      <c r="E17" s="164">
        <f>'ATT 1 - Costs per Hour and Mile'!$C$34</f>
        <v>0.37063877344000007</v>
      </c>
      <c r="F17" s="161">
        <f t="shared" si="0"/>
        <v>6666.512830421794</v>
      </c>
      <c r="G17" s="28">
        <f t="shared" si="1"/>
        <v>2433277.183103955</v>
      </c>
      <c r="H17" s="2">
        <f>F17*(1+'Total Benefit Cost'!$B$5)^(A17-$A$4)</f>
        <v>6666.512830421794</v>
      </c>
      <c r="K17" s="5"/>
    </row>
    <row r="18" spans="1:11" ht="15">
      <c r="A18" s="26">
        <v>2028</v>
      </c>
      <c r="B18" s="167">
        <f>'ATT 2 - VMT and VHT Estimates'!B24</f>
        <v>2885462.599999994</v>
      </c>
      <c r="C18" s="168">
        <f>'ATT 2 - VMT and VHT Estimates'!C24</f>
        <v>2900196.299999997</v>
      </c>
      <c r="D18" s="163">
        <f>'ATT 1 - Costs per Hour and Mile'!$B$34</f>
        <v>0.37063877344000007</v>
      </c>
      <c r="E18" s="164">
        <f>'ATT 1 - Costs per Hour and Mile'!$C$34</f>
        <v>0.37063877344000007</v>
      </c>
      <c r="F18" s="161">
        <f t="shared" si="0"/>
        <v>5460.880496234167</v>
      </c>
      <c r="G18" s="28">
        <f t="shared" si="1"/>
        <v>1993221.381125471</v>
      </c>
      <c r="H18" s="2">
        <f>F18*(1+'Total Benefit Cost'!$B$5)^(A18-$A$4)</f>
        <v>5460.880496234167</v>
      </c>
      <c r="K18" s="5"/>
    </row>
    <row r="19" spans="1:11" ht="15">
      <c r="A19" s="26">
        <v>2029</v>
      </c>
      <c r="B19" s="167">
        <f>'ATT 2 - VMT and VHT Estimates'!B25</f>
        <v>2931287.799999997</v>
      </c>
      <c r="C19" s="168">
        <f>'ATT 2 - VMT and VHT Estimates'!C25</f>
        <v>2942768.649999991</v>
      </c>
      <c r="D19" s="163">
        <f>'ATT 1 - Costs per Hour and Mile'!$B$34</f>
        <v>0.37063877344000007</v>
      </c>
      <c r="E19" s="164">
        <f>'ATT 1 - Costs per Hour and Mile'!$C$34</f>
        <v>0.37063877344000007</v>
      </c>
      <c r="F19" s="161">
        <f t="shared" si="0"/>
        <v>4255.248162046308</v>
      </c>
      <c r="G19" s="28">
        <f t="shared" si="1"/>
        <v>1553165.5791469023</v>
      </c>
      <c r="H19" s="2">
        <f>F19*(1+'Total Benefit Cost'!$B$5)^(A19-$A$4)</f>
        <v>4255.248162046308</v>
      </c>
      <c r="K19" s="5"/>
    </row>
    <row r="20" spans="1:11" ht="15">
      <c r="A20" s="26">
        <v>2030</v>
      </c>
      <c r="B20" s="167">
        <f>'ATT 2 - VMT and VHT Estimates'!B26</f>
        <v>2977113</v>
      </c>
      <c r="C20" s="168">
        <f>'ATT 2 - VMT and VHT Estimates'!C26</f>
        <v>2985341</v>
      </c>
      <c r="D20" s="163">
        <f>'ATT 1 - Costs per Hour and Mile'!$B$34</f>
        <v>0.37063877344000007</v>
      </c>
      <c r="E20" s="164">
        <f>'ATT 1 - Costs per Hour and Mile'!$C$34</f>
        <v>0.37063877344000007</v>
      </c>
      <c r="F20" s="161">
        <f t="shared" si="0"/>
        <v>3049.615827864269</v>
      </c>
      <c r="G20" s="28">
        <f t="shared" si="1"/>
        <v>1113109.777170458</v>
      </c>
      <c r="H20" s="2">
        <f>F20*(1+'Total Benefit Cost'!$B$5)^(A20-$A$4)</f>
        <v>3049.615827864269</v>
      </c>
      <c r="K20" s="5"/>
    </row>
    <row r="21" spans="1:11" ht="15">
      <c r="A21" s="26">
        <v>2031</v>
      </c>
      <c r="B21" s="167">
        <f>'ATT 2 - VMT and VHT Estimates'!B27</f>
        <v>3022938.199999988</v>
      </c>
      <c r="C21" s="168">
        <f>'ATT 2 - VMT and VHT Estimates'!C27</f>
        <v>3027913.349999994</v>
      </c>
      <c r="D21" s="163">
        <f>'ATT 1 - Costs per Hour and Mile'!$B$34</f>
        <v>0.37063877344000007</v>
      </c>
      <c r="E21" s="164">
        <f>'ATT 1 - Costs per Hour and Mile'!$C$34</f>
        <v>0.37063877344000007</v>
      </c>
      <c r="F21" s="161">
        <f t="shared" si="0"/>
        <v>1843.98349368223</v>
      </c>
      <c r="G21" s="28">
        <f t="shared" si="1"/>
        <v>673053.9751940139</v>
      </c>
      <c r="H21" s="2">
        <f>F21*(1+'Total Benefit Cost'!$B$5)^(A21-$A$4)</f>
        <v>1843.98349368223</v>
      </c>
      <c r="K21" s="5"/>
    </row>
    <row r="22" spans="1:11" ht="15">
      <c r="A22" s="26">
        <v>2032</v>
      </c>
      <c r="B22" s="167">
        <f>'ATT 2 - VMT and VHT Estimates'!B28</f>
        <v>3068763.399999991</v>
      </c>
      <c r="C22" s="168">
        <f>'ATT 2 - VMT and VHT Estimates'!C28</f>
        <v>3070485.700000003</v>
      </c>
      <c r="D22" s="163">
        <f>'ATT 1 - Costs per Hour and Mile'!$B$34</f>
        <v>0.37063877344000007</v>
      </c>
      <c r="E22" s="164">
        <f>'ATT 1 - Costs per Hour and Mile'!$C$34</f>
        <v>0.37063877344000007</v>
      </c>
      <c r="F22" s="161">
        <f t="shared" si="0"/>
        <v>638.351159500191</v>
      </c>
      <c r="G22" s="28">
        <f t="shared" si="1"/>
        <v>232998.1732175697</v>
      </c>
      <c r="H22" s="2">
        <f>F22*(1+'Total Benefit Cost'!$B$5)^(A22-$A$4)</f>
        <v>638.351159500191</v>
      </c>
      <c r="K22" s="5"/>
    </row>
    <row r="23" spans="1:11" ht="15">
      <c r="A23" s="26">
        <v>2033</v>
      </c>
      <c r="B23" s="167">
        <f>'ATT 2 - VMT and VHT Estimates'!B29</f>
        <v>3114588.599999994</v>
      </c>
      <c r="C23" s="168">
        <f>'ATT 2 - VMT and VHT Estimates'!C29</f>
        <v>3113058.049999997</v>
      </c>
      <c r="D23" s="163">
        <f>'ATT 1 - Costs per Hour and Mile'!$B$34</f>
        <v>0.37063877344000007</v>
      </c>
      <c r="E23" s="164">
        <f>'ATT 1 - Costs per Hour and Mile'!$C$34</f>
        <v>0.37063877344000007</v>
      </c>
      <c r="F23" s="161">
        <f t="shared" si="0"/>
        <v>-567.2811746874359</v>
      </c>
      <c r="G23" s="28">
        <f t="shared" si="1"/>
        <v>-207057.62876091409</v>
      </c>
      <c r="H23" s="2">
        <f>F23*(1+'Total Benefit Cost'!$B$5)^(A23-$A$4)</f>
        <v>-567.2811746874359</v>
      </c>
      <c r="K23" s="5"/>
    </row>
    <row r="24" spans="1:11" ht="15">
      <c r="A24" s="26">
        <v>2034</v>
      </c>
      <c r="B24" s="167">
        <f>'ATT 2 - VMT and VHT Estimates'!B30</f>
        <v>3160413.799999997</v>
      </c>
      <c r="C24" s="168">
        <f>'ATT 2 - VMT and VHT Estimates'!C30</f>
        <v>3155630.399999991</v>
      </c>
      <c r="D24" s="163">
        <f>'ATT 1 - Costs per Hour and Mile'!$B$34</f>
        <v>0.37063877344000007</v>
      </c>
      <c r="E24" s="164">
        <f>'ATT 1 - Costs per Hour and Mile'!$C$34</f>
        <v>0.37063877344000007</v>
      </c>
      <c r="F24" s="161">
        <f t="shared" si="0"/>
        <v>-1772.9135088750627</v>
      </c>
      <c r="G24" s="28">
        <f t="shared" si="1"/>
        <v>-647113.4307393979</v>
      </c>
      <c r="H24" s="2">
        <f>F24*(1+'Total Benefit Cost'!$B$5)^(A24-$A$4)</f>
        <v>-1772.9135088750627</v>
      </c>
      <c r="K24" s="5"/>
    </row>
    <row r="25" spans="1:11" ht="15">
      <c r="A25" s="26">
        <v>2035</v>
      </c>
      <c r="B25" s="167">
        <f>'ATT 2 - VMT and VHT Estimates'!B31</f>
        <v>3206239</v>
      </c>
      <c r="C25" s="168">
        <f>'ATT 2 - VMT and VHT Estimates'!C31</f>
        <v>3198202.75</v>
      </c>
      <c r="D25" s="163">
        <f>'ATT 1 - Costs per Hour and Mile'!$B$34</f>
        <v>0.37063877344000007</v>
      </c>
      <c r="E25" s="164">
        <f>'ATT 1 - Costs per Hour and Mile'!$C$34</f>
        <v>0.37063877344000007</v>
      </c>
      <c r="F25" s="161">
        <f t="shared" si="0"/>
        <v>-2978.5458430571016</v>
      </c>
      <c r="G25" s="28">
        <f t="shared" si="1"/>
        <v>-1087169.232715842</v>
      </c>
      <c r="H25" s="2">
        <f>F25*(1+'Total Benefit Cost'!$B$5)^(A25-$A$4)</f>
        <v>-2978.5458430571016</v>
      </c>
      <c r="K25" s="5"/>
    </row>
    <row r="26" spans="1:11" ht="15">
      <c r="A26" s="26">
        <v>2036</v>
      </c>
      <c r="B26" s="167">
        <f>'ATT 2 - VMT and VHT Estimates'!B32</f>
        <v>3252064.199999988</v>
      </c>
      <c r="C26" s="168">
        <f>'ATT 2 - VMT and VHT Estimates'!C32</f>
        <v>3240775.099999994</v>
      </c>
      <c r="D26" s="163">
        <f>'ATT 1 - Costs per Hour and Mile'!$B$34</f>
        <v>0.37063877344000007</v>
      </c>
      <c r="E26" s="164">
        <f>'ATT 1 - Costs per Hour and Mile'!$C$34</f>
        <v>0.37063877344000007</v>
      </c>
      <c r="F26" s="161">
        <f t="shared" si="0"/>
        <v>-4184.178177239373</v>
      </c>
      <c r="G26" s="28">
        <f t="shared" si="1"/>
        <v>-1527225.0346923713</v>
      </c>
      <c r="H26" s="2">
        <f>F26*(1+'Total Benefit Cost'!$B$5)^(A26-$A$4)</f>
        <v>-4184.178177239373</v>
      </c>
      <c r="K26" s="5"/>
    </row>
    <row r="27" spans="1:11" ht="15">
      <c r="A27" s="26">
        <v>2037</v>
      </c>
      <c r="B27" s="167">
        <f>'ATT 2 - VMT and VHT Estimates'!B33</f>
        <v>3297889.399999991</v>
      </c>
      <c r="C27" s="168">
        <f>'ATT 2 - VMT and VHT Estimates'!C33</f>
        <v>3283347.450000003</v>
      </c>
      <c r="D27" s="163">
        <f>'ATT 1 - Costs per Hour and Mile'!$B$34</f>
        <v>0.37063877344000007</v>
      </c>
      <c r="E27" s="164">
        <f>'ATT 1 - Costs per Hour and Mile'!$C$34</f>
        <v>0.37063877344000007</v>
      </c>
      <c r="F27" s="161">
        <f t="shared" si="0"/>
        <v>-5389.810511421412</v>
      </c>
      <c r="G27" s="28">
        <f t="shared" si="1"/>
        <v>-1967280.8366688155</v>
      </c>
      <c r="H27" s="2">
        <f>F27*(1+'Total Benefit Cost'!$B$5)^(A27-$A$4)</f>
        <v>-5389.810511421412</v>
      </c>
      <c r="K27" s="5"/>
    </row>
    <row r="28" spans="1:11" ht="15.75" thickBot="1">
      <c r="A28" s="27">
        <v>2038</v>
      </c>
      <c r="B28" s="169">
        <f>'ATT 2 - VMT and VHT Estimates'!B34</f>
        <v>3343714.599999994</v>
      </c>
      <c r="C28" s="170">
        <f>'ATT 2 - VMT and VHT Estimates'!C34</f>
        <v>3325919.799999997</v>
      </c>
      <c r="D28" s="165">
        <f>'ATT 1 - Costs per Hour and Mile'!$B$34</f>
        <v>0.37063877344000007</v>
      </c>
      <c r="E28" s="166">
        <f>'ATT 1 - Costs per Hour and Mile'!$C$34</f>
        <v>0.37063877344000007</v>
      </c>
      <c r="F28" s="162">
        <f t="shared" si="0"/>
        <v>-6595.442845609039</v>
      </c>
      <c r="G28" s="29">
        <f t="shared" si="1"/>
        <v>-2407336.6386472993</v>
      </c>
      <c r="H28" s="2">
        <f>F28*(1+'Total Benefit Cost'!$B$5)^(A28-$A$4)</f>
        <v>-6595.442845609039</v>
      </c>
      <c r="K28" s="5"/>
    </row>
  </sheetData>
  <sheetProtection/>
  <mergeCells count="7">
    <mergeCell ref="H2:H3"/>
    <mergeCell ref="A1:G1"/>
    <mergeCell ref="A2:A3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2014-08-06T14:04:09Z</dcterms:modified>
  <cp:category/>
  <cp:version/>
  <cp:contentType/>
  <cp:contentStatus/>
</cp:coreProperties>
</file>